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3"/>
  </bookViews>
  <sheets>
    <sheet name="agent de thermalisme" sheetId="1" r:id="rId1"/>
    <sheet name="agent administratif" sheetId="2" r:id="rId2"/>
    <sheet name="kiné" sheetId="3" r:id="rId3"/>
    <sheet name="cotisations" sheetId="4" r:id="rId4"/>
  </sheets>
  <definedNames>
    <definedName name="euro">#REF!</definedName>
    <definedName name="pfd" localSheetId="1">'agent administratif'!$G$11</definedName>
    <definedName name="pfd" localSheetId="0">'agent de thermalisme'!$G$11</definedName>
    <definedName name="pfd" localSheetId="2">'kiné'!$G$11</definedName>
    <definedName name="pfd">#REF!</definedName>
    <definedName name="sb" localSheetId="1">'agent administratif'!$E$16</definedName>
    <definedName name="sb" localSheetId="0">'agent de thermalisme'!$E$16</definedName>
    <definedName name="sb" localSheetId="2">'kiné'!$E$16</definedName>
    <definedName name="sb">#REF!</definedName>
    <definedName name="_xlnm.Print_Area" localSheetId="1">'agent administratif'!$B$2:$I$51</definedName>
    <definedName name="_xlnm.Print_Area" localSheetId="0">'agent de thermalisme'!$B$2:$I$51</definedName>
    <definedName name="_xlnm.Print_Area" localSheetId="3">'cotisations'!$A$1:$F$37</definedName>
    <definedName name="_xlnm.Print_Area" localSheetId="2">'kiné'!$B$2:$I$51</definedName>
  </definedNames>
  <calcPr fullCalcOnLoad="1"/>
</workbook>
</file>

<file path=xl/sharedStrings.xml><?xml version="1.0" encoding="utf-8"?>
<sst xmlns="http://schemas.openxmlformats.org/spreadsheetml/2006/main" count="287" uniqueCount="107">
  <si>
    <t>BULLETIN DE PAIE</t>
  </si>
  <si>
    <t>EMPLOYEUR :</t>
  </si>
  <si>
    <t>SALARIE :</t>
  </si>
  <si>
    <t>Nom :</t>
  </si>
  <si>
    <t>Nom et prénom :</t>
  </si>
  <si>
    <t>Adresse :</t>
  </si>
  <si>
    <t>Numero de SS :</t>
  </si>
  <si>
    <t>Numéro SIRET :</t>
  </si>
  <si>
    <t>Convention collective :</t>
  </si>
  <si>
    <t>URSSAF :</t>
  </si>
  <si>
    <t>Emploi :</t>
  </si>
  <si>
    <t>Coefficient :</t>
  </si>
  <si>
    <t>cumul salaire imposable mois précédent</t>
  </si>
  <si>
    <t xml:space="preserve">Salaire de base </t>
  </si>
  <si>
    <t>Plafond</t>
  </si>
  <si>
    <t>prime acienneté</t>
  </si>
  <si>
    <t xml:space="preserve">SALAIRE BRUT </t>
  </si>
  <si>
    <t>PART SALARIALE</t>
  </si>
  <si>
    <t>PART PATRONALE</t>
  </si>
  <si>
    <t>base</t>
  </si>
  <si>
    <t>taux</t>
  </si>
  <si>
    <t>montant</t>
  </si>
  <si>
    <t>csg et rds non déductible</t>
  </si>
  <si>
    <t>csg déductible</t>
  </si>
  <si>
    <t>SECURITE SOCIALE</t>
  </si>
  <si>
    <t>assurance maladie</t>
  </si>
  <si>
    <t>assurance veuvage</t>
  </si>
  <si>
    <t>assurance vieillesse</t>
  </si>
  <si>
    <t>déplafonnée</t>
  </si>
  <si>
    <t>plafonnée</t>
  </si>
  <si>
    <t>accidents du travail</t>
  </si>
  <si>
    <t>allocations familiales</t>
  </si>
  <si>
    <t>aide au logement</t>
  </si>
  <si>
    <t>AGS (FNGS)</t>
  </si>
  <si>
    <t>TOTAL DES COTISATIONS</t>
  </si>
  <si>
    <t>à déduire</t>
  </si>
  <si>
    <t>à verser</t>
  </si>
  <si>
    <t>Net à payer</t>
  </si>
  <si>
    <t>SALAIRE IMPOSABLE</t>
  </si>
  <si>
    <t>5, rue Georges Brassens</t>
  </si>
  <si>
    <t>Numéro APE :</t>
  </si>
  <si>
    <t>HS à</t>
  </si>
  <si>
    <t xml:space="preserve">   déplafonnée</t>
  </si>
  <si>
    <t xml:space="preserve">   plafonnée</t>
  </si>
  <si>
    <t>n° SS</t>
  </si>
  <si>
    <t>n° SIRET</t>
  </si>
  <si>
    <t>642  228 128 0012</t>
  </si>
  <si>
    <t>Code NAF</t>
  </si>
  <si>
    <t>Conv Collec</t>
  </si>
  <si>
    <t>Plafond de sécurité sociale</t>
  </si>
  <si>
    <t>csg non déductible</t>
  </si>
  <si>
    <t>accident du travail</t>
  </si>
  <si>
    <t>NON CADRES</t>
  </si>
  <si>
    <t>COTISATIONS</t>
  </si>
  <si>
    <t>du mois</t>
  </si>
  <si>
    <t>cumulé</t>
  </si>
  <si>
    <t>salaire total</t>
  </si>
  <si>
    <t>Assiette ou base</t>
  </si>
  <si>
    <t>Crds non déductible</t>
  </si>
  <si>
    <t>AGFF tranche 1</t>
  </si>
  <si>
    <t>AGFF tranche 2</t>
  </si>
  <si>
    <t>caisse</t>
  </si>
  <si>
    <t>URSSAF</t>
  </si>
  <si>
    <t>ARRCO</t>
  </si>
  <si>
    <t>AGFF tranche A</t>
  </si>
  <si>
    <t>AGIRC</t>
  </si>
  <si>
    <t>AGFF tranche B</t>
  </si>
  <si>
    <t>APEC</t>
  </si>
  <si>
    <t>CADRES</t>
  </si>
  <si>
    <t>Contribution exceptionnelle (cet)</t>
  </si>
  <si>
    <t>Assurance décès des cadres</t>
  </si>
  <si>
    <t>1 Sécurité sociale</t>
  </si>
  <si>
    <t>ASSEDIC</t>
  </si>
  <si>
    <r>
      <t>2 CAISSES DE RETRAITE</t>
    </r>
    <r>
      <rPr>
        <sz val="10"/>
        <rFont val="Arial"/>
        <family val="0"/>
      </rPr>
      <t xml:space="preserve"> </t>
    </r>
  </si>
  <si>
    <t>retraite complémentaire tranche 1</t>
  </si>
  <si>
    <t>retraite complémentaire tranche 2</t>
  </si>
  <si>
    <t>retraite complémentaire tranche A</t>
  </si>
  <si>
    <t>retraite complémentaire tranche B</t>
  </si>
  <si>
    <t>3 ASSEDIC</t>
  </si>
  <si>
    <t>Assurance chômage tranche A</t>
  </si>
  <si>
    <t>Assurance chômage tranche B</t>
  </si>
  <si>
    <t>CAISSE DE RETRAITE (non cadre)</t>
  </si>
  <si>
    <t>Retraite complémentaire et AGFF tranche 1</t>
  </si>
  <si>
    <t>Retraite complémentaire et AGFF tranche 2</t>
  </si>
  <si>
    <t>CAISSE DE RETRAITE ( cadre)</t>
  </si>
  <si>
    <t>Retraite complémentaire et AGFF tranche A</t>
  </si>
  <si>
    <t>Retraite complémentaire et AGFF tranche B</t>
  </si>
  <si>
    <t xml:space="preserve"> CET</t>
  </si>
  <si>
    <t>Salarié</t>
  </si>
  <si>
    <t>Employeur</t>
  </si>
  <si>
    <t>aide au logement plafonnée</t>
  </si>
  <si>
    <t>aide au logement déplafonnée</t>
  </si>
  <si>
    <t>Versement transport</t>
  </si>
  <si>
    <t>salaire total sous déduction forfaitaire de 5 %</t>
  </si>
  <si>
    <t xml:space="preserve">salaire total </t>
  </si>
  <si>
    <t>asurance vieillesse plafonnée</t>
  </si>
  <si>
    <t>asurance vieillesse déplafonnée</t>
  </si>
  <si>
    <t>COTISATIONS du 01-01-2003</t>
  </si>
  <si>
    <t>BURLET</t>
  </si>
  <si>
    <t>jusqu'au plafond de 0 à 2589 €</t>
  </si>
  <si>
    <t>de 2589 € à 7767 €</t>
  </si>
  <si>
    <t>de 2589 € à 10356 €</t>
  </si>
  <si>
    <t>de 0 à 10356 €</t>
  </si>
  <si>
    <t>agent de thermalisme</t>
  </si>
  <si>
    <t xml:space="preserve">agent administratif d’accueil </t>
  </si>
  <si>
    <t>Kinésithérapeute</t>
  </si>
  <si>
    <t>thermalisme et santé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</si>
</sst>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#,##0.00\ [$€-1]"/>
    <numFmt numFmtId="174" formatCode="0.0000"/>
    <numFmt numFmtId="175" formatCode="&quot;Vrai&quot;;&quot;Vrai&quot;;&quot;Faux&quot;"/>
    <numFmt numFmtId="176" formatCode="&quot;Actif&quot;;&quot;Actif&quot;;&quot;Inactif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10"/>
      <color indexed="61"/>
      <name val="Arial"/>
      <family val="2"/>
    </font>
    <font>
      <b/>
      <sz val="11"/>
      <color indexed="18"/>
      <name val="Arial Black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thick">
        <color indexed="31"/>
      </right>
      <top style="medium">
        <color indexed="32"/>
      </top>
      <bottom style="medium">
        <color indexed="32"/>
      </bottom>
    </border>
    <border>
      <left style="thin">
        <color indexed="37"/>
      </left>
      <right>
        <color indexed="63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ck">
        <color indexed="3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indexed="31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 style="thick">
        <color indexed="31"/>
      </right>
      <top style="thick">
        <color indexed="31"/>
      </top>
      <bottom>
        <color indexed="63"/>
      </bottom>
    </border>
    <border>
      <left style="thick">
        <color indexed="31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31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1"/>
      </right>
      <top style="thin">
        <color indexed="44"/>
      </top>
      <bottom style="thin">
        <color indexed="44"/>
      </bottom>
    </border>
    <border>
      <left>
        <color indexed="63"/>
      </left>
      <right style="thick">
        <color indexed="31"/>
      </right>
      <top style="thin">
        <color indexed="44"/>
      </top>
      <bottom>
        <color indexed="63"/>
      </bottom>
    </border>
    <border>
      <left>
        <color indexed="63"/>
      </left>
      <right style="thick">
        <color indexed="46"/>
      </right>
      <top style="thin">
        <color indexed="44"/>
      </top>
      <bottom style="thin">
        <color indexed="44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 style="thin">
        <color indexed="37"/>
      </left>
      <right style="thin">
        <color indexed="37"/>
      </right>
      <top style="thick">
        <color indexed="37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  <border>
      <left style="double">
        <color indexed="10"/>
      </left>
      <right>
        <color indexed="63"/>
      </right>
      <top style="thick">
        <color indexed="37"/>
      </top>
      <bottom>
        <color indexed="63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18"/>
      </left>
      <right style="thin">
        <color indexed="18"/>
      </right>
      <top style="medium">
        <color indexed="32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double">
        <color indexed="10"/>
      </left>
      <right>
        <color indexed="63"/>
      </right>
      <top style="thin">
        <color indexed="44"/>
      </top>
      <bottom style="thin">
        <color indexed="44"/>
      </bottom>
    </border>
    <border>
      <left style="double">
        <color indexed="10"/>
      </left>
      <right>
        <color indexed="63"/>
      </right>
      <top style="thin">
        <color indexed="44"/>
      </top>
      <bottom>
        <color indexed="63"/>
      </bottom>
    </border>
    <border>
      <left style="medium">
        <color indexed="32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32"/>
      </left>
      <right style="thin">
        <color indexed="32"/>
      </right>
      <top style="thin">
        <color indexed="44"/>
      </top>
      <bottom style="thin">
        <color indexed="44"/>
      </bottom>
    </border>
    <border>
      <left style="thin">
        <color indexed="18"/>
      </left>
      <right style="thin">
        <color indexed="18"/>
      </right>
      <top style="thin">
        <color indexed="27"/>
      </top>
      <bottom style="medium"/>
    </border>
    <border>
      <left style="double">
        <color indexed="10"/>
      </left>
      <right>
        <color indexed="63"/>
      </right>
      <top style="thin">
        <color indexed="44"/>
      </top>
      <bottom style="medium"/>
    </border>
    <border>
      <left style="thick">
        <color indexed="31"/>
      </left>
      <right>
        <color indexed="63"/>
      </right>
      <top style="medium"/>
      <bottom>
        <color indexed="63"/>
      </bottom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n"/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thin">
        <color indexed="37"/>
      </right>
      <top style="thick">
        <color indexed="37"/>
      </top>
      <bottom>
        <color indexed="63"/>
      </bottom>
    </border>
    <border>
      <left style="thin"/>
      <right style="thin">
        <color indexed="37"/>
      </right>
      <top style="thin">
        <color indexed="37"/>
      </top>
      <bottom style="thin">
        <color indexed="37"/>
      </bottom>
    </border>
    <border>
      <left>
        <color indexed="63"/>
      </left>
      <right style="thin">
        <color indexed="3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n">
        <color indexed="37"/>
      </right>
      <top>
        <color indexed="63"/>
      </top>
      <bottom style="thick">
        <color indexed="37"/>
      </bottom>
    </border>
    <border>
      <left style="thin"/>
      <right>
        <color indexed="63"/>
      </right>
      <top style="thick">
        <color indexed="2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31"/>
      </bottom>
    </border>
    <border>
      <left style="thin">
        <color indexed="18"/>
      </left>
      <right style="double">
        <color indexed="10"/>
      </right>
      <top style="thin">
        <color indexed="44"/>
      </top>
      <bottom style="medium"/>
    </border>
    <border>
      <left style="thin">
        <color indexed="18"/>
      </left>
      <right style="thick">
        <color indexed="31"/>
      </right>
      <top style="thin">
        <color indexed="44"/>
      </top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medium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ck">
        <color indexed="31"/>
      </bottom>
    </border>
    <border>
      <left style="thin"/>
      <right style="thick">
        <color indexed="31"/>
      </right>
      <top>
        <color indexed="63"/>
      </top>
      <bottom>
        <color indexed="63"/>
      </bottom>
    </border>
    <border>
      <left style="thin"/>
      <right style="thick">
        <color indexed="31"/>
      </right>
      <top>
        <color indexed="63"/>
      </top>
      <bottom style="thick">
        <color indexed="31"/>
      </bottom>
    </border>
    <border>
      <left style="thin"/>
      <right style="thick">
        <color indexed="31"/>
      </right>
      <top style="medium"/>
      <bottom style="medium"/>
    </border>
    <border>
      <left style="thin"/>
      <right style="thick">
        <color indexed="31"/>
      </right>
      <top>
        <color indexed="63"/>
      </top>
      <bottom style="thin"/>
    </border>
    <border>
      <left style="thin"/>
      <right style="thick">
        <color indexed="31"/>
      </right>
      <top style="medium"/>
      <bottom style="thin"/>
    </border>
    <border>
      <left style="double">
        <color indexed="10"/>
      </left>
      <right style="thin">
        <color indexed="18"/>
      </right>
      <top style="thin">
        <color indexed="44"/>
      </top>
      <bottom style="thin">
        <color indexed="44"/>
      </bottom>
    </border>
    <border>
      <left style="double">
        <color indexed="10"/>
      </left>
      <right style="thin">
        <color indexed="18"/>
      </right>
      <top style="thin">
        <color indexed="44"/>
      </top>
      <bottom>
        <color indexed="63"/>
      </bottom>
    </border>
    <border>
      <left style="double">
        <color indexed="10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31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 style="medium">
        <color indexed="32"/>
      </right>
      <top style="thick">
        <color indexed="61"/>
      </top>
      <bottom>
        <color indexed="63"/>
      </bottom>
    </border>
    <border>
      <left style="thick">
        <color indexed="31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1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1" fillId="34" borderId="0" xfId="0" applyFont="1" applyFill="1" applyAlignment="1">
      <alignment vertical="top"/>
    </xf>
    <xf numFmtId="0" fontId="0" fillId="34" borderId="0" xfId="0" applyFont="1" applyFill="1" applyAlignment="1">
      <alignment horizontal="centerContinuous"/>
    </xf>
    <xf numFmtId="0" fontId="1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0" borderId="16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5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1" fillId="35" borderId="32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35" borderId="22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6" fillId="34" borderId="0" xfId="0" applyFont="1" applyFill="1" applyAlignment="1">
      <alignment/>
    </xf>
    <xf numFmtId="173" fontId="1" fillId="36" borderId="0" xfId="0" applyNumberFormat="1" applyFont="1" applyFill="1" applyAlignment="1">
      <alignment/>
    </xf>
    <xf numFmtId="0" fontId="16" fillId="37" borderId="34" xfId="0" applyFont="1" applyFill="1" applyBorder="1" applyAlignment="1">
      <alignment/>
    </xf>
    <xf numFmtId="0" fontId="17" fillId="37" borderId="34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" fillId="37" borderId="29" xfId="0" applyFont="1" applyFill="1" applyBorder="1" applyAlignment="1">
      <alignment/>
    </xf>
    <xf numFmtId="0" fontId="0" fillId="37" borderId="33" xfId="0" applyFill="1" applyBorder="1" applyAlignment="1">
      <alignment/>
    </xf>
    <xf numFmtId="0" fontId="1" fillId="37" borderId="29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43" xfId="0" applyFont="1" applyFill="1" applyBorder="1" applyAlignment="1">
      <alignment horizontal="centerContinuous" vertical="center"/>
    </xf>
    <xf numFmtId="0" fontId="10" fillId="0" borderId="44" xfId="0" applyFont="1" applyFill="1" applyBorder="1" applyAlignment="1">
      <alignment horizontal="centerContinuous"/>
    </xf>
    <xf numFmtId="0" fontId="10" fillId="0" borderId="45" xfId="0" applyFont="1" applyFill="1" applyBorder="1" applyAlignment="1">
      <alignment horizontal="centerContinuous"/>
    </xf>
    <xf numFmtId="0" fontId="1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7" fillId="0" borderId="49" xfId="0" applyFont="1" applyFill="1" applyBorder="1" applyAlignment="1">
      <alignment horizontal="centerContinuous"/>
    </xf>
    <xf numFmtId="2" fontId="0" fillId="0" borderId="49" xfId="0" applyNumberFormat="1" applyFill="1" applyBorder="1" applyAlignment="1">
      <alignment/>
    </xf>
    <xf numFmtId="2" fontId="0" fillId="0" borderId="52" xfId="0" applyNumberFormat="1" applyFill="1" applyBorder="1" applyAlignment="1">
      <alignment/>
    </xf>
    <xf numFmtId="2" fontId="0" fillId="0" borderId="53" xfId="0" applyNumberFormat="1" applyFill="1" applyBorder="1" applyAlignment="1">
      <alignment/>
    </xf>
    <xf numFmtId="2" fontId="0" fillId="0" borderId="54" xfId="0" applyNumberForma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0" xfId="0" applyFill="1" applyBorder="1" applyAlignment="1">
      <alignment/>
    </xf>
    <xf numFmtId="3" fontId="9" fillId="0" borderId="56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173" fontId="0" fillId="0" borderId="59" xfId="0" applyNumberForma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6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64" xfId="0" applyFill="1" applyBorder="1" applyAlignment="1">
      <alignment horizontal="center"/>
    </xf>
    <xf numFmtId="2" fontId="0" fillId="0" borderId="65" xfId="0" applyNumberFormat="1" applyFill="1" applyBorder="1" applyAlignment="1">
      <alignment/>
    </xf>
    <xf numFmtId="0" fontId="0" fillId="0" borderId="65" xfId="0" applyFill="1" applyBorder="1" applyAlignment="1">
      <alignment/>
    </xf>
    <xf numFmtId="2" fontId="0" fillId="0" borderId="66" xfId="0" applyNumberFormat="1" applyFill="1" applyBorder="1" applyAlignment="1">
      <alignment/>
    </xf>
    <xf numFmtId="2" fontId="0" fillId="0" borderId="67" xfId="0" applyNumberFormat="1" applyFill="1" applyBorder="1" applyAlignment="1">
      <alignment/>
    </xf>
    <xf numFmtId="0" fontId="0" fillId="0" borderId="68" xfId="0" applyFill="1" applyBorder="1" applyAlignment="1">
      <alignment/>
    </xf>
    <xf numFmtId="2" fontId="0" fillId="0" borderId="69" xfId="0" applyNumberFormat="1" applyFill="1" applyBorder="1" applyAlignment="1">
      <alignment/>
    </xf>
    <xf numFmtId="0" fontId="5" fillId="0" borderId="5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6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70" xfId="0" applyNumberFormat="1" applyFill="1" applyBorder="1" applyAlignment="1">
      <alignment/>
    </xf>
    <xf numFmtId="2" fontId="0" fillId="0" borderId="71" xfId="0" applyNumberFormat="1" applyFill="1" applyBorder="1" applyAlignment="1">
      <alignment/>
    </xf>
    <xf numFmtId="0" fontId="2" fillId="0" borderId="55" xfId="0" applyFont="1" applyFill="1" applyBorder="1" applyAlignment="1">
      <alignment/>
    </xf>
    <xf numFmtId="2" fontId="0" fillId="0" borderId="72" xfId="0" applyNumberFormat="1" applyFill="1" applyBorder="1" applyAlignment="1">
      <alignment/>
    </xf>
    <xf numFmtId="0" fontId="0" fillId="0" borderId="60" xfId="0" applyFill="1" applyBorder="1" applyAlignment="1">
      <alignment/>
    </xf>
    <xf numFmtId="0" fontId="5" fillId="0" borderId="60" xfId="0" applyFont="1" applyFill="1" applyBorder="1" applyAlignment="1">
      <alignment/>
    </xf>
    <xf numFmtId="2" fontId="0" fillId="0" borderId="73" xfId="0" applyNumberFormat="1" applyFill="1" applyBorder="1" applyAlignment="1">
      <alignment/>
    </xf>
    <xf numFmtId="0" fontId="0" fillId="0" borderId="74" xfId="0" applyFill="1" applyBorder="1" applyAlignment="1">
      <alignment/>
    </xf>
    <xf numFmtId="2" fontId="0" fillId="0" borderId="75" xfId="0" applyNumberFormat="1" applyFill="1" applyBorder="1" applyAlignment="1">
      <alignment/>
    </xf>
    <xf numFmtId="0" fontId="0" fillId="0" borderId="75" xfId="0" applyFill="1" applyBorder="1" applyAlignment="1">
      <alignment/>
    </xf>
    <xf numFmtId="2" fontId="0" fillId="0" borderId="76" xfId="0" applyNumberFormat="1" applyFill="1" applyBorder="1" applyAlignment="1">
      <alignment/>
    </xf>
    <xf numFmtId="0" fontId="5" fillId="0" borderId="77" xfId="0" applyFont="1" applyFill="1" applyBorder="1" applyAlignment="1">
      <alignment/>
    </xf>
    <xf numFmtId="0" fontId="0" fillId="0" borderId="34" xfId="0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0" fillId="0" borderId="79" xfId="0" applyFill="1" applyBorder="1" applyAlignment="1">
      <alignment/>
    </xf>
    <xf numFmtId="0" fontId="5" fillId="0" borderId="79" xfId="0" applyFont="1" applyFill="1" applyBorder="1" applyAlignment="1">
      <alignment/>
    </xf>
    <xf numFmtId="0" fontId="8" fillId="0" borderId="79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1" fillId="0" borderId="86" xfId="0" applyFont="1" applyFill="1" applyBorder="1" applyAlignment="1">
      <alignment/>
    </xf>
    <xf numFmtId="173" fontId="1" fillId="0" borderId="36" xfId="0" applyNumberFormat="1" applyFont="1" applyFill="1" applyBorder="1" applyAlignment="1">
      <alignment/>
    </xf>
    <xf numFmtId="0" fontId="0" fillId="0" borderId="87" xfId="0" applyFill="1" applyBorder="1" applyAlignment="1">
      <alignment/>
    </xf>
    <xf numFmtId="173" fontId="0" fillId="0" borderId="88" xfId="0" applyNumberFormat="1" applyFill="1" applyBorder="1" applyAlignment="1">
      <alignment/>
    </xf>
    <xf numFmtId="4" fontId="0" fillId="0" borderId="56" xfId="0" applyNumberFormat="1" applyFill="1" applyBorder="1" applyAlignment="1">
      <alignment/>
    </xf>
    <xf numFmtId="173" fontId="0" fillId="0" borderId="89" xfId="0" applyNumberFormat="1" applyFill="1" applyBorder="1" applyAlignment="1">
      <alignment/>
    </xf>
    <xf numFmtId="0" fontId="0" fillId="0" borderId="90" xfId="0" applyFill="1" applyBorder="1" applyAlignment="1">
      <alignment/>
    </xf>
    <xf numFmtId="0" fontId="0" fillId="0" borderId="67" xfId="0" applyFill="1" applyBorder="1" applyAlignment="1">
      <alignment/>
    </xf>
    <xf numFmtId="0" fontId="8" fillId="0" borderId="91" xfId="0" applyFont="1" applyFill="1" applyBorder="1" applyAlignment="1">
      <alignment/>
    </xf>
    <xf numFmtId="2" fontId="0" fillId="0" borderId="92" xfId="0" applyNumberFormat="1" applyFill="1" applyBorder="1" applyAlignment="1">
      <alignment/>
    </xf>
    <xf numFmtId="2" fontId="0" fillId="0" borderId="93" xfId="0" applyNumberFormat="1" applyFill="1" applyBorder="1" applyAlignment="1">
      <alignment/>
    </xf>
    <xf numFmtId="2" fontId="0" fillId="0" borderId="94" xfId="0" applyNumberFormat="1" applyFill="1" applyBorder="1" applyAlignment="1">
      <alignment/>
    </xf>
    <xf numFmtId="2" fontId="0" fillId="0" borderId="95" xfId="0" applyNumberFormat="1" applyFill="1" applyBorder="1" applyAlignment="1">
      <alignment/>
    </xf>
    <xf numFmtId="0" fontId="0" fillId="0" borderId="96" xfId="0" applyFill="1" applyBorder="1" applyAlignment="1">
      <alignment/>
    </xf>
    <xf numFmtId="173" fontId="0" fillId="0" borderId="97" xfId="0" applyNumberFormat="1" applyFill="1" applyBorder="1" applyAlignment="1">
      <alignment/>
    </xf>
    <xf numFmtId="0" fontId="0" fillId="0" borderId="97" xfId="0" applyFill="1" applyBorder="1" applyAlignment="1">
      <alignment/>
    </xf>
    <xf numFmtId="2" fontId="0" fillId="0" borderId="98" xfId="0" applyNumberFormat="1" applyFill="1" applyBorder="1" applyAlignment="1">
      <alignment/>
    </xf>
    <xf numFmtId="4" fontId="0" fillId="0" borderId="99" xfId="0" applyNumberFormat="1" applyFill="1" applyBorder="1" applyAlignment="1">
      <alignment/>
    </xf>
    <xf numFmtId="0" fontId="0" fillId="0" borderId="99" xfId="0" applyFill="1" applyBorder="1" applyAlignment="1">
      <alignment/>
    </xf>
    <xf numFmtId="173" fontId="0" fillId="0" borderId="100" xfId="0" applyNumberFormat="1" applyFill="1" applyBorder="1" applyAlignment="1">
      <alignment/>
    </xf>
    <xf numFmtId="0" fontId="0" fillId="0" borderId="101" xfId="0" applyFill="1" applyBorder="1" applyAlignment="1">
      <alignment/>
    </xf>
    <xf numFmtId="173" fontId="0" fillId="0" borderId="102" xfId="0" applyNumberFormat="1" applyFill="1" applyBorder="1" applyAlignment="1">
      <alignment/>
    </xf>
    <xf numFmtId="2" fontId="0" fillId="0" borderId="103" xfId="0" applyNumberFormat="1" applyFill="1" applyBorder="1" applyAlignment="1">
      <alignment/>
    </xf>
    <xf numFmtId="0" fontId="0" fillId="0" borderId="104" xfId="0" applyFill="1" applyBorder="1" applyAlignment="1">
      <alignment/>
    </xf>
    <xf numFmtId="2" fontId="0" fillId="0" borderId="105" xfId="0" applyNumberFormat="1" applyFill="1" applyBorder="1" applyAlignment="1">
      <alignment/>
    </xf>
    <xf numFmtId="2" fontId="0" fillId="0" borderId="106" xfId="0" applyNumberFormat="1" applyFill="1" applyBorder="1" applyAlignment="1">
      <alignment/>
    </xf>
    <xf numFmtId="2" fontId="0" fillId="0" borderId="107" xfId="0" applyNumberFormat="1" applyFill="1" applyBorder="1" applyAlignment="1">
      <alignment/>
    </xf>
    <xf numFmtId="2" fontId="0" fillId="0" borderId="108" xfId="0" applyNumberFormat="1" applyFill="1" applyBorder="1" applyAlignment="1">
      <alignment/>
    </xf>
    <xf numFmtId="0" fontId="18" fillId="0" borderId="0" xfId="0" applyFont="1" applyAlignment="1">
      <alignment/>
    </xf>
    <xf numFmtId="0" fontId="1" fillId="34" borderId="0" xfId="0" applyFont="1" applyFill="1" applyAlignment="1">
      <alignment horizontal="centerContinuous"/>
    </xf>
    <xf numFmtId="0" fontId="12" fillId="0" borderId="109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vertical="center"/>
    </xf>
    <xf numFmtId="0" fontId="13" fillId="0" borderId="111" xfId="0" applyFont="1" applyFill="1" applyBorder="1" applyAlignment="1">
      <alignment vertical="center"/>
    </xf>
    <xf numFmtId="0" fontId="13" fillId="0" borderId="112" xfId="0" applyFont="1" applyFill="1" applyBorder="1" applyAlignment="1">
      <alignment vertical="center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showGridLines="0" zoomScalePageLayoutView="0" workbookViewId="0" topLeftCell="A1">
      <selection activeCell="K36" sqref="K36"/>
    </sheetView>
  </sheetViews>
  <sheetFormatPr defaultColWidth="11.421875" defaultRowHeight="12.75"/>
  <cols>
    <col min="1" max="1" width="2.7109375" style="4" customWidth="1"/>
    <col min="2" max="2" width="21.140625" style="4" customWidth="1"/>
    <col min="3" max="3" width="15.8515625" style="4" customWidth="1"/>
    <col min="4" max="4" width="9.421875" style="4" customWidth="1"/>
    <col min="5" max="5" width="11.28125" style="4" customWidth="1"/>
    <col min="6" max="7" width="11.421875" style="4" customWidth="1"/>
    <col min="8" max="8" width="7.57421875" style="4" customWidth="1"/>
    <col min="9" max="16384" width="11.421875" style="4" customWidth="1"/>
  </cols>
  <sheetData>
    <row r="1" ht="13.5" thickBot="1"/>
    <row r="2" spans="2:9" ht="22.5" customHeight="1" thickBot="1" thickTop="1">
      <c r="B2" s="77" t="s">
        <v>0</v>
      </c>
      <c r="C2" s="78"/>
      <c r="D2" s="78"/>
      <c r="E2" s="78"/>
      <c r="F2" s="78"/>
      <c r="G2" s="78"/>
      <c r="H2" s="78"/>
      <c r="I2" s="79"/>
    </row>
    <row r="3" spans="2:9" ht="13.5" thickTop="1">
      <c r="B3" s="80" t="s">
        <v>1</v>
      </c>
      <c r="C3" s="81"/>
      <c r="D3" s="81"/>
      <c r="E3" s="140" t="s">
        <v>2</v>
      </c>
      <c r="F3" s="81"/>
      <c r="G3" s="81"/>
      <c r="H3" s="81"/>
      <c r="I3" s="82"/>
    </row>
    <row r="4" spans="2:9" ht="12.75">
      <c r="B4" s="91" t="s">
        <v>3</v>
      </c>
      <c r="C4" s="92"/>
      <c r="D4" s="93"/>
      <c r="E4" s="92" t="s">
        <v>4</v>
      </c>
      <c r="F4" s="93"/>
      <c r="G4" s="92"/>
      <c r="H4" s="93"/>
      <c r="I4" s="83"/>
    </row>
    <row r="5" spans="2:9" ht="12.75">
      <c r="B5" s="91" t="s">
        <v>5</v>
      </c>
      <c r="C5" s="92"/>
      <c r="D5" s="93"/>
      <c r="E5" s="92" t="s">
        <v>5</v>
      </c>
      <c r="F5" s="93"/>
      <c r="G5" s="92"/>
      <c r="H5" s="93"/>
      <c r="I5" s="83"/>
    </row>
    <row r="6" spans="2:9" ht="12.75">
      <c r="B6" s="91" t="s">
        <v>40</v>
      </c>
      <c r="C6" s="92"/>
      <c r="D6" s="93"/>
      <c r="E6" s="92" t="s">
        <v>6</v>
      </c>
      <c r="F6" s="93"/>
      <c r="G6" s="92"/>
      <c r="H6" s="93"/>
      <c r="I6" s="83"/>
    </row>
    <row r="7" spans="2:9" ht="12.75">
      <c r="B7" s="91" t="s">
        <v>7</v>
      </c>
      <c r="C7" s="94"/>
      <c r="D7" s="93"/>
      <c r="E7" s="92" t="s">
        <v>8</v>
      </c>
      <c r="F7" s="93"/>
      <c r="G7" s="92"/>
      <c r="H7" s="93"/>
      <c r="I7" s="83"/>
    </row>
    <row r="8" spans="2:9" ht="12.75">
      <c r="B8" s="91" t="s">
        <v>9</v>
      </c>
      <c r="C8" s="92"/>
      <c r="D8" s="93"/>
      <c r="E8" s="92" t="s">
        <v>10</v>
      </c>
      <c r="F8" s="93"/>
      <c r="G8" s="92" t="s">
        <v>103</v>
      </c>
      <c r="H8" s="93"/>
      <c r="I8" s="83"/>
    </row>
    <row r="9" spans="2:9" ht="13.5" thickBot="1">
      <c r="B9" s="91"/>
      <c r="C9" s="93"/>
      <c r="D9" s="93"/>
      <c r="E9" s="138" t="s">
        <v>11</v>
      </c>
      <c r="F9" s="93"/>
      <c r="G9" s="92"/>
      <c r="H9" s="93"/>
      <c r="I9" s="83"/>
    </row>
    <row r="10" spans="2:9" ht="13.5" thickTop="1">
      <c r="B10" s="95" t="s">
        <v>12</v>
      </c>
      <c r="C10" s="133"/>
      <c r="D10" s="96"/>
      <c r="E10" s="97">
        <v>12571.27</v>
      </c>
      <c r="F10" s="96"/>
      <c r="G10" s="96"/>
      <c r="H10" s="96"/>
      <c r="I10" s="84"/>
    </row>
    <row r="11" spans="2:9" ht="12.75">
      <c r="B11" s="91" t="s">
        <v>13</v>
      </c>
      <c r="C11" s="135">
        <v>151.67</v>
      </c>
      <c r="D11" s="17">
        <v>8.27</v>
      </c>
      <c r="E11" s="18">
        <f>C11*D11</f>
        <v>1254.3108999999997</v>
      </c>
      <c r="F11" s="93" t="s">
        <v>14</v>
      </c>
      <c r="G11" s="141">
        <f>cotisations!D4</f>
        <v>2589</v>
      </c>
      <c r="H11" s="93"/>
      <c r="I11" s="83"/>
    </row>
    <row r="12" spans="2:9" ht="12.75">
      <c r="B12" s="98"/>
      <c r="C12" s="135"/>
      <c r="D12" s="17"/>
      <c r="E12" s="18">
        <f>IF(C12="","",C12*D12)</f>
      </c>
      <c r="F12" s="93"/>
      <c r="G12" s="93"/>
      <c r="H12" s="93"/>
      <c r="I12" s="83"/>
    </row>
    <row r="13" spans="2:9" ht="12.75">
      <c r="B13" s="91" t="s">
        <v>41</v>
      </c>
      <c r="C13" s="135"/>
      <c r="D13" s="17">
        <f>D11*1.25</f>
        <v>10.337499999999999</v>
      </c>
      <c r="E13" s="18">
        <f>IF(C13="","",C13*D13)</f>
      </c>
      <c r="F13" s="93"/>
      <c r="G13" s="93"/>
      <c r="H13" s="93"/>
      <c r="I13" s="83"/>
    </row>
    <row r="14" spans="2:9" ht="12.75">
      <c r="B14" s="91" t="s">
        <v>41</v>
      </c>
      <c r="C14" s="135"/>
      <c r="D14" s="17">
        <f>D11*1.5</f>
        <v>12.405</v>
      </c>
      <c r="E14" s="18">
        <f>IF(C14="","",C14*D14)</f>
      </c>
      <c r="F14" s="93"/>
      <c r="G14" s="93"/>
      <c r="H14" s="93"/>
      <c r="I14" s="83"/>
    </row>
    <row r="15" spans="2:9" ht="12.75">
      <c r="B15" s="91" t="s">
        <v>15</v>
      </c>
      <c r="C15" s="92"/>
      <c r="D15" s="93"/>
      <c r="E15" s="18"/>
      <c r="F15" s="93"/>
      <c r="G15" s="93"/>
      <c r="H15" s="93"/>
      <c r="I15" s="83"/>
    </row>
    <row r="16" spans="2:9" ht="13.5" thickBot="1">
      <c r="B16" s="99" t="s">
        <v>16</v>
      </c>
      <c r="C16" s="138"/>
      <c r="D16" s="100"/>
      <c r="E16" s="19">
        <f>SUM(E11:E15)</f>
        <v>1254.3108999999997</v>
      </c>
      <c r="F16" s="100"/>
      <c r="G16" s="100"/>
      <c r="H16" s="100"/>
      <c r="I16" s="85"/>
    </row>
    <row r="17" spans="2:9" ht="14.25" thickBot="1" thickTop="1">
      <c r="B17" s="170" t="s">
        <v>53</v>
      </c>
      <c r="C17" s="171"/>
      <c r="D17" s="101" t="s">
        <v>17</v>
      </c>
      <c r="E17" s="101"/>
      <c r="F17" s="101"/>
      <c r="G17" s="102" t="s">
        <v>18</v>
      </c>
      <c r="H17" s="103"/>
      <c r="I17" s="86"/>
    </row>
    <row r="18" spans="2:9" ht="13.5" thickBot="1">
      <c r="B18" s="172"/>
      <c r="C18" s="173"/>
      <c r="D18" s="104" t="s">
        <v>19</v>
      </c>
      <c r="E18" s="6" t="s">
        <v>20</v>
      </c>
      <c r="F18" s="7" t="s">
        <v>21</v>
      </c>
      <c r="G18" s="5" t="s">
        <v>19</v>
      </c>
      <c r="H18" s="6" t="s">
        <v>20</v>
      </c>
      <c r="I18" s="8" t="s">
        <v>21</v>
      </c>
    </row>
    <row r="19" spans="2:9" ht="13.5" thickBot="1">
      <c r="B19" s="91" t="s">
        <v>22</v>
      </c>
      <c r="C19" s="93"/>
      <c r="D19" s="105">
        <f>IF(G8="cadre",((E$16+I43)*0.97),sb*0.97)</f>
        <v>1216.6815729999996</v>
      </c>
      <c r="E19" s="106">
        <f>cotisations!D8+cotisations!D10</f>
        <v>2.9</v>
      </c>
      <c r="F19" s="107">
        <f>ROUND(D19*E19%,2)</f>
        <v>35.28</v>
      </c>
      <c r="G19" s="108"/>
      <c r="H19" s="106"/>
      <c r="I19" s="87"/>
    </row>
    <row r="20" spans="2:9" ht="12.75">
      <c r="B20" s="91" t="s">
        <v>23</v>
      </c>
      <c r="C20" s="93"/>
      <c r="D20" s="105">
        <f>IF(G8="cadre",((E$16+I43)*0.97),sb*0.97)</f>
        <v>1216.6815729999996</v>
      </c>
      <c r="E20" s="109">
        <f>cotisations!D9</f>
        <v>5.1</v>
      </c>
      <c r="F20" s="110">
        <f>D20*E20%</f>
        <v>62.050760222999976</v>
      </c>
      <c r="G20" s="108"/>
      <c r="H20" s="109"/>
      <c r="I20" s="87"/>
    </row>
    <row r="21" spans="2:9" ht="12.75">
      <c r="B21" s="111" t="s">
        <v>24</v>
      </c>
      <c r="C21" s="112"/>
      <c r="D21" s="113"/>
      <c r="E21" s="109"/>
      <c r="F21" s="114"/>
      <c r="G21" s="108"/>
      <c r="H21" s="109"/>
      <c r="I21" s="87"/>
    </row>
    <row r="22" spans="2:9" ht="12.75">
      <c r="B22" s="91" t="s">
        <v>25</v>
      </c>
      <c r="C22" s="93"/>
      <c r="D22" s="113">
        <f>sb</f>
        <v>1254.3108999999997</v>
      </c>
      <c r="E22" s="109">
        <f>cotisations!D11</f>
        <v>0.75</v>
      </c>
      <c r="F22" s="115">
        <f>ROUND(D22*E22%,2)</f>
        <v>9.41</v>
      </c>
      <c r="G22" s="165">
        <f>sb</f>
        <v>1254.3108999999997</v>
      </c>
      <c r="H22" s="109">
        <f>cotisations!E11</f>
        <v>12.8</v>
      </c>
      <c r="I22" s="88">
        <f>ROUND(G22*H22%,2)</f>
        <v>160.55</v>
      </c>
    </row>
    <row r="23" spans="2:9" ht="12.75">
      <c r="B23" s="91" t="s">
        <v>26</v>
      </c>
      <c r="C23" s="93"/>
      <c r="D23" s="113"/>
      <c r="E23" s="109"/>
      <c r="F23" s="115"/>
      <c r="G23" s="165"/>
      <c r="H23" s="109"/>
      <c r="I23" s="88"/>
    </row>
    <row r="24" spans="2:9" ht="12.75">
      <c r="B24" s="91" t="s">
        <v>27</v>
      </c>
      <c r="C24" s="93"/>
      <c r="D24" s="113"/>
      <c r="E24" s="109"/>
      <c r="F24" s="115"/>
      <c r="G24" s="165"/>
      <c r="H24" s="109"/>
      <c r="I24" s="88"/>
    </row>
    <row r="25" spans="2:9" ht="12.75">
      <c r="B25" s="117" t="s">
        <v>28</v>
      </c>
      <c r="C25" s="93"/>
      <c r="D25" s="113">
        <f>sb</f>
        <v>1254.3108999999997</v>
      </c>
      <c r="E25" s="109">
        <v>0.1</v>
      </c>
      <c r="F25" s="115">
        <f>D25*E25%</f>
        <v>1.2543108999999997</v>
      </c>
      <c r="G25" s="165">
        <f>sb</f>
        <v>1254.3108999999997</v>
      </c>
      <c r="H25" s="109">
        <f>cotisations!E13</f>
        <v>1.6</v>
      </c>
      <c r="I25" s="88">
        <f>ROUND(G25*H25%,2)</f>
        <v>20.07</v>
      </c>
    </row>
    <row r="26" spans="2:9" ht="12.75">
      <c r="B26" s="117" t="s">
        <v>29</v>
      </c>
      <c r="C26" s="93"/>
      <c r="D26" s="113">
        <f>IF(sb&lt;pfd,sb,pfd)</f>
        <v>1254.3108999999997</v>
      </c>
      <c r="E26" s="109">
        <f>cotisations!D12</f>
        <v>6.55</v>
      </c>
      <c r="F26" s="115">
        <f>ROUND(D26*E26%,2)</f>
        <v>82.16</v>
      </c>
      <c r="G26" s="166">
        <f>IF(sb&lt;pfd,sb,pfd)</f>
        <v>1254.3108999999997</v>
      </c>
      <c r="H26" s="109">
        <f>cotisations!E12</f>
        <v>8.2</v>
      </c>
      <c r="I26" s="89">
        <f>ROUND(G26*H26%,2)</f>
        <v>102.85</v>
      </c>
    </row>
    <row r="27" spans="2:9" ht="12.75">
      <c r="B27" s="91" t="s">
        <v>30</v>
      </c>
      <c r="C27" s="93"/>
      <c r="D27" s="113"/>
      <c r="E27" s="109"/>
      <c r="F27" s="114"/>
      <c r="G27" s="165">
        <f>sb</f>
        <v>1254.3108999999997</v>
      </c>
      <c r="H27" s="109">
        <f>cotisations!E18</f>
        <v>7.3</v>
      </c>
      <c r="I27" s="88">
        <f>ROUND(G27*H27%,2)</f>
        <v>91.56</v>
      </c>
    </row>
    <row r="28" spans="2:9" ht="12.75">
      <c r="B28" s="91" t="s">
        <v>31</v>
      </c>
      <c r="C28" s="93"/>
      <c r="D28" s="113"/>
      <c r="E28" s="109"/>
      <c r="F28" s="114"/>
      <c r="G28" s="165">
        <f>sb</f>
        <v>1254.3108999999997</v>
      </c>
      <c r="H28" s="109">
        <f>cotisations!E15</f>
        <v>5.4</v>
      </c>
      <c r="I28" s="88">
        <f>ROUND(G28*H28%,2)</f>
        <v>67.73</v>
      </c>
    </row>
    <row r="29" spans="2:9" ht="12.75">
      <c r="B29" s="91" t="s">
        <v>32</v>
      </c>
      <c r="C29" s="93"/>
      <c r="D29" s="113"/>
      <c r="E29" s="109"/>
      <c r="F29" s="114"/>
      <c r="G29" s="165"/>
      <c r="H29" s="109"/>
      <c r="I29" s="88"/>
    </row>
    <row r="30" spans="2:9" ht="12.75">
      <c r="B30" s="91" t="s">
        <v>42</v>
      </c>
      <c r="C30" s="93"/>
      <c r="D30" s="113"/>
      <c r="E30" s="109"/>
      <c r="F30" s="114"/>
      <c r="G30" s="166">
        <f>sb</f>
        <v>1254.3108999999997</v>
      </c>
      <c r="H30" s="109">
        <f>cotisations!E17</f>
        <v>0.4</v>
      </c>
      <c r="I30" s="88">
        <f>ROUND(G30*H30%,2)</f>
        <v>5.02</v>
      </c>
    </row>
    <row r="31" spans="2:9" ht="12.75">
      <c r="B31" s="91" t="s">
        <v>43</v>
      </c>
      <c r="C31" s="93"/>
      <c r="D31" s="113"/>
      <c r="E31" s="109"/>
      <c r="F31" s="114"/>
      <c r="G31" s="166">
        <f>IF(sb&lt;pfd,sb,pfd)</f>
        <v>1254.3108999999997</v>
      </c>
      <c r="H31" s="109">
        <f>cotisations!E16</f>
        <v>0.1</v>
      </c>
      <c r="I31" s="89">
        <f>ROUND(G31*H31%,2)</f>
        <v>1.25</v>
      </c>
    </row>
    <row r="32" spans="2:9" ht="12.75">
      <c r="B32" s="111" t="s">
        <v>72</v>
      </c>
      <c r="C32" s="93"/>
      <c r="D32" s="113"/>
      <c r="E32" s="109"/>
      <c r="F32" s="114"/>
      <c r="G32" s="167"/>
      <c r="H32" s="109"/>
      <c r="I32" s="87"/>
    </row>
    <row r="33" spans="2:9" ht="12.75">
      <c r="B33" s="119" t="s">
        <v>79</v>
      </c>
      <c r="C33" s="93"/>
      <c r="D33" s="113">
        <f>IF(sb&lt;pfd,sb,pfd)</f>
        <v>1254.3108999999997</v>
      </c>
      <c r="E33" s="109">
        <f>cotisations!D35</f>
        <v>2.4</v>
      </c>
      <c r="F33" s="115">
        <f>ROUND(D33*E33%,2)</f>
        <v>30.1</v>
      </c>
      <c r="G33" s="165">
        <f>IF(sb&lt;pfd,sb,pfd)</f>
        <v>1254.3108999999997</v>
      </c>
      <c r="H33" s="109">
        <f>cotisations!E35</f>
        <v>4</v>
      </c>
      <c r="I33" s="88">
        <f>ROUND(G33*H33%,2)</f>
        <v>50.17</v>
      </c>
    </row>
    <row r="34" spans="2:9" ht="12.75">
      <c r="B34" s="119" t="s">
        <v>80</v>
      </c>
      <c r="C34" s="93"/>
      <c r="D34" s="113">
        <f>IF(AND(sb&gt;=pfd,sb&lt;=4*pfd),sb-pfd,IF(sb&gt;4*pfd,3*pfd,0))</f>
        <v>0</v>
      </c>
      <c r="E34" s="109">
        <f>cotisations!D36</f>
        <v>2.4</v>
      </c>
      <c r="F34" s="115">
        <f>ROUND(D34*E34%,2)</f>
        <v>0</v>
      </c>
      <c r="G34" s="165">
        <f>IF(AND(sb&gt;=pfd,sb&lt;=4*pfd),sb-pfd,IF(sb&gt;4*pfd,3*pfd,0))</f>
        <v>0</v>
      </c>
      <c r="H34" s="109">
        <f>IF(sb&gt;pfd,cotisations!E36,0)</f>
        <v>0</v>
      </c>
      <c r="I34" s="88">
        <f>ROUND(G34*H34%,2)</f>
        <v>0</v>
      </c>
    </row>
    <row r="35" spans="2:9" ht="12.75">
      <c r="B35" s="119" t="s">
        <v>33</v>
      </c>
      <c r="C35" s="93"/>
      <c r="D35" s="113"/>
      <c r="E35" s="109"/>
      <c r="F35" s="115"/>
      <c r="G35" s="116">
        <f>IF(sb&gt;4*pfd,4*pfd,sb)</f>
        <v>1254.3108999999997</v>
      </c>
      <c r="H35" s="109">
        <f>cotisations!E37</f>
        <v>0.45</v>
      </c>
      <c r="I35" s="88">
        <f>ROUND(G35*H35%,2)</f>
        <v>5.64</v>
      </c>
    </row>
    <row r="36" spans="2:9" ht="12.75">
      <c r="B36" s="120" t="s">
        <v>81</v>
      </c>
      <c r="C36" s="93"/>
      <c r="D36" s="121"/>
      <c r="E36" s="122"/>
      <c r="F36" s="115"/>
      <c r="G36" s="116"/>
      <c r="H36" s="122"/>
      <c r="I36" s="90"/>
    </row>
    <row r="37" spans="2:9" ht="12.75">
      <c r="B37" s="119" t="s">
        <v>82</v>
      </c>
      <c r="C37" s="93"/>
      <c r="D37" s="121">
        <f>IF(G8="employe",IF(sb&lt;=pfd,sb,pfd),0)</f>
        <v>0</v>
      </c>
      <c r="E37" s="122">
        <f>cotisations!D22+cotisations!D23</f>
        <v>3.8</v>
      </c>
      <c r="F37" s="115">
        <f>ROUND(D37*E37%,2)</f>
        <v>0</v>
      </c>
      <c r="G37" s="116">
        <f>IF(G8="employe",IF(sb&lt;pfd,sb,pfd),0)</f>
        <v>0</v>
      </c>
      <c r="H37" s="122">
        <f>cotisations!E22+cotisations!E28</f>
        <v>5.7</v>
      </c>
      <c r="I37" s="90">
        <f>ROUND(G37*H37%,2)</f>
        <v>0</v>
      </c>
    </row>
    <row r="38" spans="2:9" ht="12.75">
      <c r="B38" s="119" t="s">
        <v>83</v>
      </c>
      <c r="C38" s="93"/>
      <c r="D38" s="121">
        <f>IF(G8="employe",IF(sb&gt;3*pfd,3*pfd,IF(sb&gt;pfd,sb-pfd,0)),0)</f>
        <v>0</v>
      </c>
      <c r="E38" s="122">
        <f>cotisations!D24+cotisations!D25</f>
        <v>7.9</v>
      </c>
      <c r="F38" s="115">
        <f>ROUND(D38*E38%,2)</f>
        <v>0</v>
      </c>
      <c r="G38" s="116">
        <f>IF(G8="employe",IF(sb&gt;3*pfd,3*pfd,IF(sb&gt;pfd,sb-pfd,0)),0)</f>
        <v>0</v>
      </c>
      <c r="H38" s="122">
        <f>cotisations!E24+cotisations!E25</f>
        <v>11.8</v>
      </c>
      <c r="I38" s="90">
        <f>ROUND(G38*H38%,2)</f>
        <v>0</v>
      </c>
    </row>
    <row r="39" spans="2:9" ht="12.75">
      <c r="B39" s="120" t="s">
        <v>84</v>
      </c>
      <c r="C39" s="93"/>
      <c r="D39" s="113"/>
      <c r="E39" s="109"/>
      <c r="F39" s="115"/>
      <c r="G39" s="116"/>
      <c r="H39" s="109"/>
      <c r="I39" s="88"/>
    </row>
    <row r="40" spans="2:9" ht="12.75">
      <c r="B40" s="119" t="s">
        <v>85</v>
      </c>
      <c r="C40" s="93"/>
      <c r="D40" s="113">
        <f>IF(G8&lt;&gt;"cadre",0,IF(sb&lt;pfd,sb,pfd))</f>
        <v>0</v>
      </c>
      <c r="E40" s="109">
        <f>cotisations!D27+cotisations!D28</f>
        <v>3.8</v>
      </c>
      <c r="F40" s="115">
        <f>ROUND(D40*E40%,2)</f>
        <v>0</v>
      </c>
      <c r="G40" s="116">
        <f>IF(G8&lt;&gt;"cadre",0,IF(sb&lt;pfd,sb,pfd))</f>
        <v>0</v>
      </c>
      <c r="H40" s="109">
        <f>cotisations!E27+cotisations!E28</f>
        <v>5.7</v>
      </c>
      <c r="I40" s="88">
        <f>ROUND(G40*H40%,2)</f>
        <v>0</v>
      </c>
    </row>
    <row r="41" spans="2:9" ht="12.75">
      <c r="B41" s="119" t="s">
        <v>86</v>
      </c>
      <c r="C41" s="93"/>
      <c r="D41" s="113">
        <f>IF(G8&lt;&gt;"cadre",0,IF(AND(sb&gt;=pfd,sb&lt;=4*pfd),sb-pfd,IF(sb&gt;4*pfd,4*pfd-pfd,0)))</f>
        <v>0</v>
      </c>
      <c r="E41" s="109">
        <f>cotisations!D29+cotisations!D30</f>
        <v>8.4</v>
      </c>
      <c r="F41" s="115">
        <f>ROUND(D41*E41%,2)</f>
        <v>0</v>
      </c>
      <c r="G41" s="116">
        <f>IF(G8&lt;&gt;"cadre",0,IF(AND(sb&gt;=pfd,sb&lt;=4*pfd),sb-pfd,IF(sb&gt;4*pfd,4*pfd-pfd,0)))</f>
        <v>0</v>
      </c>
      <c r="H41" s="109">
        <f>cotisations!E29+cotisations!E30</f>
        <v>13.8</v>
      </c>
      <c r="I41" s="88">
        <f>ROUND(G41*H41%,2)</f>
        <v>0</v>
      </c>
    </row>
    <row r="42" spans="2:9" ht="12.75">
      <c r="B42" s="91" t="s">
        <v>67</v>
      </c>
      <c r="C42" s="93"/>
      <c r="D42" s="113">
        <f>IF(G8&lt;&gt;"cadre",0,IF(AND(sb&gt;=pfd,sb&lt;=4*pfd),sb-pfd,IF(sb&gt;4*pfd,4*pfd-pfd,0)))</f>
        <v>0</v>
      </c>
      <c r="E42" s="109">
        <f>cotisations!D31</f>
        <v>0.024</v>
      </c>
      <c r="F42" s="115">
        <f>ROUND(D42*E42%,2)</f>
        <v>0</v>
      </c>
      <c r="G42" s="116">
        <f>IF(G8&lt;&gt;"cadre",0,IF(AND(sb&gt;=pfd,sb&lt;=4*pfd),sb-pfd,IF(sb&gt;4*pfd,4*pfd-pfd,0)))</f>
        <v>0</v>
      </c>
      <c r="H42" s="109">
        <f>cotisations!E31</f>
        <v>0.036</v>
      </c>
      <c r="I42" s="88">
        <f>ROUND(G42*H42%,2)</f>
        <v>0</v>
      </c>
    </row>
    <row r="43" spans="2:9" ht="12.75">
      <c r="B43" s="91" t="s">
        <v>70</v>
      </c>
      <c r="C43" s="93"/>
      <c r="D43" s="113"/>
      <c r="E43" s="109"/>
      <c r="F43" s="115"/>
      <c r="G43" s="116">
        <f>IF(G8="cadre",IF(sb&lt;pfd,sb,pfd),0)</f>
        <v>0</v>
      </c>
      <c r="H43" s="109">
        <f>cotisations!E32</f>
        <v>1.5</v>
      </c>
      <c r="I43" s="88">
        <f>ROUND(G43*H43%,2)</f>
        <v>0</v>
      </c>
    </row>
    <row r="44" spans="2:9" ht="13.5" thickBot="1">
      <c r="B44" s="91" t="s">
        <v>87</v>
      </c>
      <c r="C44" s="93"/>
      <c r="D44" s="123">
        <f>IF(G8="cadre",IF(sb&lt;8*pfd,sb,8*pfd),0)</f>
        <v>0</v>
      </c>
      <c r="E44" s="124">
        <f>cotisations!D33</f>
        <v>0.13</v>
      </c>
      <c r="F44" s="110">
        <f>ROUND(D44*E44%,2)</f>
        <v>0</v>
      </c>
      <c r="G44" s="125">
        <f>IF(G8="cadre",IF(sb&gt;8*pfd,8*pfd,sb),0)</f>
        <v>0</v>
      </c>
      <c r="H44" s="124">
        <f>cotisations!E33</f>
        <v>0.22</v>
      </c>
      <c r="I44" s="89">
        <f>ROUND(G44*H44%,2)</f>
        <v>0</v>
      </c>
    </row>
    <row r="45" spans="2:9" ht="14.25" customHeight="1">
      <c r="B45" s="126" t="s">
        <v>34</v>
      </c>
      <c r="C45" s="127"/>
      <c r="D45" s="127"/>
      <c r="E45" s="127"/>
      <c r="F45" s="156">
        <f>SUM(F19:F44)</f>
        <v>220.25507112299996</v>
      </c>
      <c r="G45" s="127"/>
      <c r="H45" s="127"/>
      <c r="I45" s="164">
        <f>SUM(I19:I44)</f>
        <v>504.84000000000003</v>
      </c>
    </row>
    <row r="46" spans="2:9" ht="12.75">
      <c r="B46" s="91" t="s">
        <v>35</v>
      </c>
      <c r="C46" s="93"/>
      <c r="D46" s="93"/>
      <c r="E46" s="93"/>
      <c r="F46" s="157"/>
      <c r="G46" s="93"/>
      <c r="H46" s="93"/>
      <c r="I46" s="160"/>
    </row>
    <row r="47" spans="2:9" ht="12.75">
      <c r="B47" s="91" t="s">
        <v>36</v>
      </c>
      <c r="C47" s="93"/>
      <c r="D47" s="93"/>
      <c r="E47" s="93"/>
      <c r="F47" s="157"/>
      <c r="G47" s="93"/>
      <c r="H47" s="93"/>
      <c r="I47" s="160"/>
    </row>
    <row r="48" spans="2:9" ht="12.75">
      <c r="B48" s="91"/>
      <c r="C48" s="93"/>
      <c r="D48" s="93"/>
      <c r="E48" s="93"/>
      <c r="F48" s="158"/>
      <c r="G48" s="93"/>
      <c r="H48" s="93"/>
      <c r="I48" s="160"/>
    </row>
    <row r="49" spans="2:9" ht="12.75">
      <c r="B49" s="128" t="s">
        <v>37</v>
      </c>
      <c r="C49" s="93"/>
      <c r="D49" s="93"/>
      <c r="E49" s="93"/>
      <c r="F49" s="154">
        <f>sb-F45-F46+F47</f>
        <v>1034.0558288769998</v>
      </c>
      <c r="G49" s="93"/>
      <c r="H49" s="93"/>
      <c r="I49" s="160"/>
    </row>
    <row r="50" spans="2:9" ht="12.75">
      <c r="B50" s="91"/>
      <c r="C50" s="93"/>
      <c r="D50" s="93"/>
      <c r="E50" s="93"/>
      <c r="F50" s="155"/>
      <c r="G50" s="93"/>
      <c r="H50" s="93"/>
      <c r="I50" s="163"/>
    </row>
    <row r="51" spans="2:9" ht="13.5" thickBot="1">
      <c r="B51" s="129" t="s">
        <v>38</v>
      </c>
      <c r="C51" s="130"/>
      <c r="D51" s="131"/>
      <c r="E51" s="131" t="s">
        <v>54</v>
      </c>
      <c r="F51" s="159">
        <f>E16-SUM(F20:F44)</f>
        <v>1069.3358288769998</v>
      </c>
      <c r="G51" s="132"/>
      <c r="H51" s="132" t="s">
        <v>55</v>
      </c>
      <c r="I51" s="161">
        <f>E10+F51</f>
        <v>13640.605828877</v>
      </c>
    </row>
    <row r="52" ht="13.5" thickTop="1"/>
  </sheetData>
  <sheetProtection/>
  <mergeCells count="1">
    <mergeCell ref="B17:C18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&amp;C&amp;"Arial,Gras"ANNEXE 1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51"/>
  <sheetViews>
    <sheetView showGridLines="0" zoomScalePageLayoutView="0" workbookViewId="0" topLeftCell="A1">
      <selection activeCell="C55" sqref="C55"/>
    </sheetView>
  </sheetViews>
  <sheetFormatPr defaultColWidth="11.421875" defaultRowHeight="12.75"/>
  <cols>
    <col min="1" max="1" width="2.7109375" style="4" customWidth="1"/>
    <col min="2" max="2" width="21.140625" style="4" customWidth="1"/>
    <col min="3" max="3" width="15.8515625" style="4" customWidth="1"/>
    <col min="4" max="4" width="9.421875" style="4" customWidth="1"/>
    <col min="5" max="5" width="11.28125" style="4" customWidth="1"/>
    <col min="6" max="7" width="11.421875" style="4" customWidth="1"/>
    <col min="8" max="8" width="7.57421875" style="4" customWidth="1"/>
    <col min="9" max="16384" width="11.421875" style="4" customWidth="1"/>
  </cols>
  <sheetData>
    <row r="1" ht="13.5" thickBot="1"/>
    <row r="2" spans="2:9" ht="22.5" customHeight="1" thickBot="1" thickTop="1">
      <c r="B2" s="77" t="s">
        <v>0</v>
      </c>
      <c r="C2" s="78"/>
      <c r="D2" s="78"/>
      <c r="E2" s="78"/>
      <c r="F2" s="78"/>
      <c r="G2" s="78"/>
      <c r="H2" s="78"/>
      <c r="I2" s="79"/>
    </row>
    <row r="3" spans="2:9" ht="13.5" thickTop="1">
      <c r="B3" s="80" t="s">
        <v>1</v>
      </c>
      <c r="C3" s="81"/>
      <c r="D3" s="81"/>
      <c r="E3" s="140" t="s">
        <v>2</v>
      </c>
      <c r="F3" s="81"/>
      <c r="G3" s="81"/>
      <c r="H3" s="81"/>
      <c r="I3" s="82"/>
    </row>
    <row r="4" spans="2:9" ht="12.75">
      <c r="B4" s="91" t="s">
        <v>3</v>
      </c>
      <c r="C4" s="92"/>
      <c r="D4" s="93"/>
      <c r="E4" s="92" t="s">
        <v>4</v>
      </c>
      <c r="F4" s="93"/>
      <c r="G4" s="92"/>
      <c r="H4" s="93"/>
      <c r="I4" s="83"/>
    </row>
    <row r="5" spans="2:9" ht="12.75">
      <c r="B5" s="91" t="s">
        <v>5</v>
      </c>
      <c r="C5" s="92"/>
      <c r="D5" s="93"/>
      <c r="E5" s="92" t="s">
        <v>5</v>
      </c>
      <c r="F5" s="93"/>
      <c r="G5" s="92"/>
      <c r="H5" s="93"/>
      <c r="I5" s="83"/>
    </row>
    <row r="6" spans="2:9" ht="12.75">
      <c r="B6" s="91" t="s">
        <v>40</v>
      </c>
      <c r="C6" s="92"/>
      <c r="D6" s="93"/>
      <c r="E6" s="92" t="s">
        <v>6</v>
      </c>
      <c r="F6" s="93"/>
      <c r="G6" s="92"/>
      <c r="H6" s="93"/>
      <c r="I6" s="83"/>
    </row>
    <row r="7" spans="2:9" ht="12.75">
      <c r="B7" s="91" t="s">
        <v>7</v>
      </c>
      <c r="C7" s="94"/>
      <c r="D7" s="93"/>
      <c r="E7" s="92" t="s">
        <v>8</v>
      </c>
      <c r="F7" s="93"/>
      <c r="G7" s="92"/>
      <c r="H7" s="93"/>
      <c r="I7" s="83"/>
    </row>
    <row r="8" spans="2:9" ht="15.75">
      <c r="B8" s="91" t="s">
        <v>9</v>
      </c>
      <c r="C8" s="92"/>
      <c r="D8" s="93"/>
      <c r="E8" s="92" t="s">
        <v>10</v>
      </c>
      <c r="F8" s="93"/>
      <c r="G8" s="168" t="s">
        <v>104</v>
      </c>
      <c r="H8" s="93"/>
      <c r="I8" s="83"/>
    </row>
    <row r="9" spans="2:9" ht="13.5" thickBot="1">
      <c r="B9" s="91"/>
      <c r="C9" s="93"/>
      <c r="D9" s="93"/>
      <c r="E9" s="138" t="s">
        <v>11</v>
      </c>
      <c r="F9" s="93"/>
      <c r="G9" s="92"/>
      <c r="H9" s="93"/>
      <c r="I9" s="83"/>
    </row>
    <row r="10" spans="2:9" ht="13.5" thickTop="1">
      <c r="B10" s="95" t="s">
        <v>12</v>
      </c>
      <c r="C10" s="133"/>
      <c r="D10" s="96"/>
      <c r="E10" s="97">
        <v>12571.27</v>
      </c>
      <c r="F10" s="96"/>
      <c r="G10" s="96"/>
      <c r="H10" s="96"/>
      <c r="I10" s="84"/>
    </row>
    <row r="11" spans="2:9" ht="12.75">
      <c r="B11" s="91" t="s">
        <v>13</v>
      </c>
      <c r="C11" s="135">
        <v>151.67</v>
      </c>
      <c r="D11" s="17">
        <v>8.27</v>
      </c>
      <c r="E11" s="18">
        <f>D11*C11</f>
        <v>1254.3108999999997</v>
      </c>
      <c r="F11" s="93" t="s">
        <v>14</v>
      </c>
      <c r="G11" s="141">
        <f>cotisations!D4</f>
        <v>2589</v>
      </c>
      <c r="H11" s="93"/>
      <c r="I11" s="83"/>
    </row>
    <row r="12" spans="2:9" ht="12.75">
      <c r="B12" s="98"/>
      <c r="C12" s="135"/>
      <c r="D12" s="17"/>
      <c r="E12" s="18">
        <f>IF(C12="","",C12*D12)</f>
      </c>
      <c r="F12" s="93"/>
      <c r="G12" s="93"/>
      <c r="H12" s="93"/>
      <c r="I12" s="83"/>
    </row>
    <row r="13" spans="2:9" ht="12.75">
      <c r="B13" s="91" t="s">
        <v>41</v>
      </c>
      <c r="C13" s="135"/>
      <c r="D13" s="17">
        <f>D11*1.25</f>
        <v>10.337499999999999</v>
      </c>
      <c r="E13" s="18">
        <f>IF(C13="","",C13*D13)</f>
      </c>
      <c r="F13" s="93"/>
      <c r="G13" s="93"/>
      <c r="H13" s="93"/>
      <c r="I13" s="83"/>
    </row>
    <row r="14" spans="2:9" ht="12.75">
      <c r="B14" s="91" t="s">
        <v>41</v>
      </c>
      <c r="C14" s="135"/>
      <c r="D14" s="17">
        <f>D11*1.5</f>
        <v>12.405</v>
      </c>
      <c r="E14" s="18">
        <f>IF(C14="","",C14*D14)</f>
      </c>
      <c r="F14" s="93"/>
      <c r="G14" s="93"/>
      <c r="H14" s="93"/>
      <c r="I14" s="83"/>
    </row>
    <row r="15" spans="2:9" ht="12.75">
      <c r="B15" s="91" t="s">
        <v>15</v>
      </c>
      <c r="C15" s="92"/>
      <c r="D15" s="93"/>
      <c r="E15" s="18">
        <v>15</v>
      </c>
      <c r="F15" s="93"/>
      <c r="G15" s="93"/>
      <c r="H15" s="93"/>
      <c r="I15" s="83"/>
    </row>
    <row r="16" spans="2:9" ht="13.5" thickBot="1">
      <c r="B16" s="99" t="s">
        <v>16</v>
      </c>
      <c r="C16" s="138"/>
      <c r="D16" s="100"/>
      <c r="E16" s="19">
        <f>SUM(E11:E15)</f>
        <v>1269.3108999999997</v>
      </c>
      <c r="F16" s="100"/>
      <c r="G16" s="100"/>
      <c r="H16" s="100"/>
      <c r="I16" s="85"/>
    </row>
    <row r="17" spans="2:9" ht="14.25" thickBot="1" thickTop="1">
      <c r="B17" s="170" t="s">
        <v>53</v>
      </c>
      <c r="C17" s="171"/>
      <c r="D17" s="101" t="s">
        <v>17</v>
      </c>
      <c r="E17" s="101"/>
      <c r="F17" s="101"/>
      <c r="G17" s="102" t="s">
        <v>18</v>
      </c>
      <c r="H17" s="103"/>
      <c r="I17" s="86"/>
    </row>
    <row r="18" spans="2:9" ht="13.5" thickBot="1">
      <c r="B18" s="172"/>
      <c r="C18" s="173"/>
      <c r="D18" s="104" t="s">
        <v>19</v>
      </c>
      <c r="E18" s="6" t="s">
        <v>20</v>
      </c>
      <c r="F18" s="7" t="s">
        <v>21</v>
      </c>
      <c r="G18" s="5" t="s">
        <v>19</v>
      </c>
      <c r="H18" s="6" t="s">
        <v>20</v>
      </c>
      <c r="I18" s="8" t="s">
        <v>21</v>
      </c>
    </row>
    <row r="19" spans="2:9" ht="13.5" thickBot="1">
      <c r="B19" s="91" t="s">
        <v>22</v>
      </c>
      <c r="C19" s="93"/>
      <c r="D19" s="105">
        <f>IF(G8="cadre",((E$16+I43)*0.97),sb*0.95)</f>
        <v>1205.8453549999997</v>
      </c>
      <c r="E19" s="106">
        <f>cotisations!D8+cotisations!D10</f>
        <v>2.9</v>
      </c>
      <c r="F19" s="107">
        <f>ROUND(D19*E19%,2)</f>
        <v>34.97</v>
      </c>
      <c r="G19" s="108"/>
      <c r="H19" s="106"/>
      <c r="I19" s="87"/>
    </row>
    <row r="20" spans="2:9" ht="12.75">
      <c r="B20" s="91" t="s">
        <v>23</v>
      </c>
      <c r="C20" s="93"/>
      <c r="D20" s="105">
        <f>IF(G8="cadre",((E$16+I43)*0.95),sb*0.97)</f>
        <v>1231.2315729999998</v>
      </c>
      <c r="E20" s="109">
        <f>cotisations!D9</f>
        <v>5.1</v>
      </c>
      <c r="F20" s="110">
        <f>D20*E20%</f>
        <v>62.79281022299998</v>
      </c>
      <c r="G20" s="108"/>
      <c r="H20" s="109"/>
      <c r="I20" s="87"/>
    </row>
    <row r="21" spans="2:9" ht="12.75">
      <c r="B21" s="111" t="s">
        <v>24</v>
      </c>
      <c r="C21" s="112"/>
      <c r="D21" s="113"/>
      <c r="E21" s="109"/>
      <c r="F21" s="114"/>
      <c r="G21" s="108"/>
      <c r="H21" s="109"/>
      <c r="I21" s="87"/>
    </row>
    <row r="22" spans="2:9" ht="12.75">
      <c r="B22" s="91" t="s">
        <v>25</v>
      </c>
      <c r="C22" s="93"/>
      <c r="D22" s="113">
        <f>sb</f>
        <v>1269.3108999999997</v>
      </c>
      <c r="E22" s="109">
        <f>cotisations!D11</f>
        <v>0.75</v>
      </c>
      <c r="F22" s="115">
        <f>ROUND(D22*E22%,2)</f>
        <v>9.52</v>
      </c>
      <c r="G22" s="116">
        <f>sb</f>
        <v>1269.3108999999997</v>
      </c>
      <c r="H22" s="109">
        <f>cotisations!E11</f>
        <v>12.8</v>
      </c>
      <c r="I22" s="88">
        <f>ROUND(G22*H22%,2)</f>
        <v>162.47</v>
      </c>
    </row>
    <row r="23" spans="2:9" ht="12.75">
      <c r="B23" s="91" t="s">
        <v>26</v>
      </c>
      <c r="C23" s="93"/>
      <c r="G23" s="116"/>
      <c r="H23" s="109"/>
      <c r="I23" s="88"/>
    </row>
    <row r="24" spans="2:9" ht="12.75">
      <c r="B24" s="91" t="s">
        <v>27</v>
      </c>
      <c r="C24" s="93"/>
      <c r="G24" s="116"/>
      <c r="H24" s="109"/>
      <c r="I24" s="88"/>
    </row>
    <row r="25" spans="2:9" ht="12.75">
      <c r="B25" s="117" t="s">
        <v>28</v>
      </c>
      <c r="C25" s="93"/>
      <c r="D25" s="113">
        <f>sb</f>
        <v>1269.3108999999997</v>
      </c>
      <c r="E25" s="109">
        <v>0.1</v>
      </c>
      <c r="F25" s="115">
        <f>D25*E25%</f>
        <v>1.2693108999999998</v>
      </c>
      <c r="G25" s="116">
        <f>sb</f>
        <v>1269.3108999999997</v>
      </c>
      <c r="H25" s="109">
        <f>cotisations!E13</f>
        <v>1.6</v>
      </c>
      <c r="I25" s="88">
        <f>ROUND(G25*H25%,2)</f>
        <v>20.31</v>
      </c>
    </row>
    <row r="26" spans="2:9" ht="12.75">
      <c r="B26" s="117" t="s">
        <v>29</v>
      </c>
      <c r="C26" s="93"/>
      <c r="D26" s="113">
        <f>IF(sb&lt;pfd,sb,pfd)</f>
        <v>1269.3108999999997</v>
      </c>
      <c r="E26" s="109">
        <f>cotisations!D12</f>
        <v>6.55</v>
      </c>
      <c r="F26" s="115">
        <f>ROUND(D26*E26%,2)</f>
        <v>83.14</v>
      </c>
      <c r="G26" s="118">
        <f>IF(sb&lt;pfd,sb,pfd)</f>
        <v>1269.3108999999997</v>
      </c>
      <c r="H26" s="109">
        <f>cotisations!E12</f>
        <v>8.2</v>
      </c>
      <c r="I26" s="89">
        <f>ROUND(G26*H26%,2)</f>
        <v>104.08</v>
      </c>
    </row>
    <row r="27" spans="2:9" ht="12.75">
      <c r="B27" s="91" t="s">
        <v>30</v>
      </c>
      <c r="C27" s="93"/>
      <c r="D27" s="113"/>
      <c r="E27" s="109"/>
      <c r="F27" s="114"/>
      <c r="G27" s="116">
        <f>sb</f>
        <v>1269.3108999999997</v>
      </c>
      <c r="H27" s="109">
        <f>cotisations!E18</f>
        <v>7.3</v>
      </c>
      <c r="I27" s="88">
        <f>ROUND(G27*H27%,2)</f>
        <v>92.66</v>
      </c>
    </row>
    <row r="28" spans="2:9" ht="12.75">
      <c r="B28" s="91" t="s">
        <v>31</v>
      </c>
      <c r="C28" s="93"/>
      <c r="D28" s="113"/>
      <c r="E28" s="109"/>
      <c r="F28" s="114"/>
      <c r="G28" s="116">
        <f>sb</f>
        <v>1269.3108999999997</v>
      </c>
      <c r="H28" s="109">
        <f>cotisations!E15</f>
        <v>5.4</v>
      </c>
      <c r="I28" s="88">
        <f>ROUND(G28*H28%,2)</f>
        <v>68.54</v>
      </c>
    </row>
    <row r="29" spans="2:9" ht="12.75">
      <c r="B29" s="91" t="s">
        <v>32</v>
      </c>
      <c r="C29" s="93"/>
      <c r="D29" s="113"/>
      <c r="E29" s="109"/>
      <c r="F29" s="114"/>
      <c r="G29" s="116"/>
      <c r="H29" s="109"/>
      <c r="I29" s="88"/>
    </row>
    <row r="30" spans="2:9" ht="12.75">
      <c r="B30" s="91" t="s">
        <v>42</v>
      </c>
      <c r="C30" s="93"/>
      <c r="D30" s="113"/>
      <c r="E30" s="109"/>
      <c r="F30" s="114"/>
      <c r="G30" s="118">
        <f>sb</f>
        <v>1269.3108999999997</v>
      </c>
      <c r="H30" s="109">
        <f>cotisations!E17</f>
        <v>0.4</v>
      </c>
      <c r="I30" s="88">
        <f>ROUND(G30*H30%,2)</f>
        <v>5.08</v>
      </c>
    </row>
    <row r="31" spans="2:9" ht="12.75">
      <c r="B31" s="91" t="s">
        <v>43</v>
      </c>
      <c r="C31" s="93"/>
      <c r="D31" s="113"/>
      <c r="E31" s="109"/>
      <c r="F31" s="114"/>
      <c r="G31" s="118">
        <f>IF(sb&lt;pfd,sb,pfd)</f>
        <v>1269.3108999999997</v>
      </c>
      <c r="H31" s="109">
        <f>cotisations!E16</f>
        <v>0.1</v>
      </c>
      <c r="I31" s="89">
        <f>ROUND(G31*H31%,2)</f>
        <v>1.27</v>
      </c>
    </row>
    <row r="32" spans="2:9" ht="12.75">
      <c r="B32" s="111" t="s">
        <v>72</v>
      </c>
      <c r="C32" s="93"/>
      <c r="D32" s="113"/>
      <c r="E32" s="109"/>
      <c r="F32" s="114"/>
      <c r="G32" s="108"/>
      <c r="H32" s="109"/>
      <c r="I32" s="87"/>
    </row>
    <row r="33" spans="2:9" ht="12.75">
      <c r="B33" s="119" t="s">
        <v>79</v>
      </c>
      <c r="C33" s="93"/>
      <c r="D33" s="113">
        <f>IF(sb&lt;pfd,sb,pfd)</f>
        <v>1269.3108999999997</v>
      </c>
      <c r="E33" s="109">
        <f>cotisations!D35</f>
        <v>2.4</v>
      </c>
      <c r="F33" s="115">
        <f>ROUND(D33*E33%,2)</f>
        <v>30.46</v>
      </c>
      <c r="G33" s="116">
        <f>IF(sb&lt;pfd,sb,pfd)</f>
        <v>1269.3108999999997</v>
      </c>
      <c r="H33" s="109">
        <f>cotisations!E35</f>
        <v>4</v>
      </c>
      <c r="I33" s="88">
        <f>ROUND(G33*H33%,2)</f>
        <v>50.77</v>
      </c>
    </row>
    <row r="34" spans="2:9" ht="12.75">
      <c r="B34" s="119" t="s">
        <v>80</v>
      </c>
      <c r="C34" s="93"/>
      <c r="D34" s="113">
        <f>IF(AND(sb&gt;=pfd,sb&lt;=4*pfd),sb-pfd,IF(sb&gt;4*pfd,3*pfd,0))</f>
        <v>0</v>
      </c>
      <c r="E34" s="109">
        <f>cotisations!D36</f>
        <v>2.4</v>
      </c>
      <c r="F34" s="115">
        <f>ROUND(D34*E34%,2)</f>
        <v>0</v>
      </c>
      <c r="G34" s="116">
        <f>IF(AND(sb&gt;=pfd,sb&lt;=4*pfd),sb-pfd,IF(sb&gt;4*pfd,3*pfd,0))</f>
        <v>0</v>
      </c>
      <c r="H34" s="109">
        <f>IF(sb&gt;pfd,cotisations!E36,0)</f>
        <v>0</v>
      </c>
      <c r="I34" s="88">
        <f>ROUND(G34*H34%,2)</f>
        <v>0</v>
      </c>
    </row>
    <row r="35" spans="2:9" ht="12.75">
      <c r="B35" s="119" t="s">
        <v>33</v>
      </c>
      <c r="C35" s="93"/>
      <c r="D35" s="113"/>
      <c r="E35" s="109"/>
      <c r="F35" s="115"/>
      <c r="G35" s="116">
        <f>IF(sb&gt;4*pfd,4*pfd,sb)</f>
        <v>1269.3108999999997</v>
      </c>
      <c r="H35" s="109">
        <f>cotisations!E37</f>
        <v>0.45</v>
      </c>
      <c r="I35" s="88">
        <f>ROUND(G35*H35%,2)</f>
        <v>5.71</v>
      </c>
    </row>
    <row r="36" spans="2:9" ht="12.75">
      <c r="B36" s="120" t="s">
        <v>81</v>
      </c>
      <c r="C36" s="93"/>
      <c r="D36" s="121"/>
      <c r="E36" s="122"/>
      <c r="F36" s="115"/>
      <c r="G36" s="116"/>
      <c r="H36" s="122"/>
      <c r="I36" s="90"/>
    </row>
    <row r="37" spans="2:9" ht="12.75">
      <c r="B37" s="119" t="s">
        <v>82</v>
      </c>
      <c r="C37" s="93"/>
      <c r="D37" s="121">
        <f>IF(G8="employe",IF(sb&lt;=pfd,sb,pfd),0)</f>
        <v>0</v>
      </c>
      <c r="E37" s="122">
        <f>cotisations!D22+cotisations!D23</f>
        <v>3.8</v>
      </c>
      <c r="F37" s="115">
        <f>ROUND(D37*E37%,2)</f>
        <v>0</v>
      </c>
      <c r="G37" s="116">
        <f>IF(G8="employe",IF(sb&lt;pfd,sb,pfd),0)</f>
        <v>0</v>
      </c>
      <c r="H37" s="122">
        <f>cotisations!E22+cotisations!E28</f>
        <v>5.7</v>
      </c>
      <c r="I37" s="90">
        <f>ROUND(G37*H37%,2)</f>
        <v>0</v>
      </c>
    </row>
    <row r="38" spans="2:9" ht="12.75">
      <c r="B38" s="119" t="s">
        <v>83</v>
      </c>
      <c r="C38" s="93"/>
      <c r="D38" s="121">
        <f>IF(G8="employe",IF(sb&gt;3*pfd,3*pfd,IF(sb&gt;pfd,sb-pfd,0)),0)</f>
        <v>0</v>
      </c>
      <c r="E38" s="122">
        <f>cotisations!D24+cotisations!D25</f>
        <v>7.9</v>
      </c>
      <c r="F38" s="115">
        <f>ROUND(D38*E38%,2)</f>
        <v>0</v>
      </c>
      <c r="G38" s="116">
        <f>IF(G8="employe",IF(sb&gt;3*pfd,3*pfd,IF(sb&gt;pfd,sb-pfd,0)),0)</f>
        <v>0</v>
      </c>
      <c r="H38" s="122">
        <f>cotisations!E24+cotisations!E25</f>
        <v>11.8</v>
      </c>
      <c r="I38" s="90">
        <f>ROUND(G38*H38%,2)</f>
        <v>0</v>
      </c>
    </row>
    <row r="39" spans="2:9" ht="12.75">
      <c r="B39" s="120" t="s">
        <v>84</v>
      </c>
      <c r="C39" s="93"/>
      <c r="D39" s="113"/>
      <c r="E39" s="109"/>
      <c r="F39" s="115"/>
      <c r="G39" s="116"/>
      <c r="H39" s="109"/>
      <c r="I39" s="88"/>
    </row>
    <row r="40" spans="2:9" ht="12.75">
      <c r="B40" s="119" t="s">
        <v>85</v>
      </c>
      <c r="C40" s="93"/>
      <c r="D40" s="113">
        <f>IF(G8&lt;&gt;"cadre",0,IF(sb&lt;pfd,sb,pfd))</f>
        <v>0</v>
      </c>
      <c r="E40" s="109">
        <f>cotisations!D27+cotisations!D28</f>
        <v>3.8</v>
      </c>
      <c r="F40" s="115">
        <f>ROUND(D40*E40%,2)</f>
        <v>0</v>
      </c>
      <c r="G40" s="116">
        <f>IF(G8&lt;&gt;"cadre",0,IF(sb&lt;pfd,sb,pfd))</f>
        <v>0</v>
      </c>
      <c r="H40" s="109">
        <f>cotisations!E27+cotisations!E28</f>
        <v>5.7</v>
      </c>
      <c r="I40" s="88">
        <f>ROUND(G40*H40%,2)</f>
        <v>0</v>
      </c>
    </row>
    <row r="41" spans="2:9" ht="12.75">
      <c r="B41" s="119" t="s">
        <v>86</v>
      </c>
      <c r="C41" s="93"/>
      <c r="D41" s="113">
        <f>IF(G8&lt;&gt;"cadre",0,IF(AND(sb&gt;=pfd,sb&lt;=4*pfd),sb-pfd,IF(sb&gt;4*pfd,4*pfd-pfd,0)))</f>
        <v>0</v>
      </c>
      <c r="E41" s="109">
        <f>cotisations!D29+cotisations!D30</f>
        <v>8.4</v>
      </c>
      <c r="F41" s="115">
        <f>ROUND(D41*E41%,2)</f>
        <v>0</v>
      </c>
      <c r="G41" s="116">
        <f>IF(G8&lt;&gt;"cadre",0,IF(AND(sb&gt;=pfd,sb&lt;=4*pfd),sb-pfd,IF(sb&gt;4*pfd,4*pfd-pfd,0)))</f>
        <v>0</v>
      </c>
      <c r="H41" s="109">
        <f>cotisations!E29+cotisations!E30</f>
        <v>13.8</v>
      </c>
      <c r="I41" s="88">
        <f>ROUND(G41*H41%,2)</f>
        <v>0</v>
      </c>
    </row>
    <row r="42" spans="2:9" ht="12.75">
      <c r="B42" s="91" t="s">
        <v>67</v>
      </c>
      <c r="C42" s="93"/>
      <c r="D42" s="113">
        <f>IF(G8&lt;&gt;"cadre",0,IF(AND(sb&gt;=pfd,sb&lt;=4*pfd),sb-pfd,IF(sb&gt;4*pfd,4*pfd-pfd,0)))</f>
        <v>0</v>
      </c>
      <c r="E42" s="109">
        <f>cotisations!D31</f>
        <v>0.024</v>
      </c>
      <c r="F42" s="115">
        <f>ROUND(D42*E42%,2)</f>
        <v>0</v>
      </c>
      <c r="G42" s="116">
        <f>IF(G8&lt;&gt;"cadre",0,IF(AND(sb&gt;=pfd,sb&lt;=4*pfd),sb-pfd,IF(sb&gt;4*pfd,4*pfd-pfd,0)))</f>
        <v>0</v>
      </c>
      <c r="H42" s="109">
        <f>cotisations!E31</f>
        <v>0.036</v>
      </c>
      <c r="I42" s="88">
        <f>ROUND(G42*H42%,2)</f>
        <v>0</v>
      </c>
    </row>
    <row r="43" spans="2:9" ht="12.75">
      <c r="B43" s="91" t="s">
        <v>70</v>
      </c>
      <c r="C43" s="93"/>
      <c r="D43" s="113"/>
      <c r="E43" s="109"/>
      <c r="F43" s="115"/>
      <c r="G43" s="116">
        <f>IF(G8="cadre",IF(sb&lt;pfd,sb,pfd),0)</f>
        <v>0</v>
      </c>
      <c r="H43" s="109">
        <f>cotisations!E32</f>
        <v>1.5</v>
      </c>
      <c r="I43" s="88">
        <f>ROUND(G43*H43%,2)</f>
        <v>0</v>
      </c>
    </row>
    <row r="44" spans="2:9" ht="13.5" thickBot="1">
      <c r="B44" s="91" t="s">
        <v>87</v>
      </c>
      <c r="C44" s="93"/>
      <c r="D44" s="123">
        <f>IF(G8="cadre",IF(sb&lt;8*pfd,sb,8*pfd),0)</f>
        <v>0</v>
      </c>
      <c r="E44" s="124">
        <f>cotisations!D33</f>
        <v>0.13</v>
      </c>
      <c r="F44" s="110">
        <f>ROUND(D44*E44%,2)</f>
        <v>0</v>
      </c>
      <c r="G44" s="125">
        <f>IF(G8="cadre",IF(sb&gt;8*pfd,8*pfd,sb),0)</f>
        <v>0</v>
      </c>
      <c r="H44" s="124">
        <f>cotisations!E33</f>
        <v>0.22</v>
      </c>
      <c r="I44" s="89">
        <f>ROUND(G44*H44%,2)</f>
        <v>0</v>
      </c>
    </row>
    <row r="45" spans="2:9" ht="14.25" customHeight="1" thickBot="1">
      <c r="B45" s="126" t="s">
        <v>34</v>
      </c>
      <c r="C45" s="127"/>
      <c r="D45" s="127"/>
      <c r="E45" s="127"/>
      <c r="F45" s="156">
        <f>SUM(F19:F44)</f>
        <v>222.15212112299997</v>
      </c>
      <c r="G45" s="127"/>
      <c r="H45" s="127"/>
      <c r="I45" s="162">
        <f>SUM(I19:I44)</f>
        <v>510.88999999999993</v>
      </c>
    </row>
    <row r="46" spans="2:9" ht="12.75">
      <c r="B46" s="91" t="s">
        <v>35</v>
      </c>
      <c r="C46" s="93"/>
      <c r="D46" s="93"/>
      <c r="E46" s="93"/>
      <c r="F46" s="157"/>
      <c r="G46" s="93"/>
      <c r="H46" s="93"/>
      <c r="I46" s="160"/>
    </row>
    <row r="47" spans="2:9" ht="12.75">
      <c r="B47" s="91" t="s">
        <v>36</v>
      </c>
      <c r="C47" s="93"/>
      <c r="D47" s="93"/>
      <c r="E47" s="93"/>
      <c r="F47" s="157"/>
      <c r="G47" s="93"/>
      <c r="H47" s="93"/>
      <c r="I47" s="160"/>
    </row>
    <row r="48" spans="2:9" ht="12.75">
      <c r="B48" s="91"/>
      <c r="C48" s="93"/>
      <c r="D48" s="93"/>
      <c r="E48" s="93"/>
      <c r="F48" s="158"/>
      <c r="G48" s="93"/>
      <c r="H48" s="93"/>
      <c r="I48" s="160"/>
    </row>
    <row r="49" spans="2:9" ht="12.75">
      <c r="B49" s="128" t="s">
        <v>37</v>
      </c>
      <c r="C49" s="93"/>
      <c r="D49" s="93"/>
      <c r="E49" s="93"/>
      <c r="F49" s="154">
        <f>sb-F45-F46+F47</f>
        <v>1047.1587788769998</v>
      </c>
      <c r="G49" s="93"/>
      <c r="H49" s="93"/>
      <c r="I49" s="160"/>
    </row>
    <row r="50" spans="2:9" ht="12.75">
      <c r="B50" s="91"/>
      <c r="C50" s="93"/>
      <c r="D50" s="93"/>
      <c r="E50" s="93"/>
      <c r="F50" s="155"/>
      <c r="G50" s="93"/>
      <c r="H50" s="93"/>
      <c r="I50" s="163"/>
    </row>
    <row r="51" spans="2:9" ht="13.5" thickBot="1">
      <c r="B51" s="129" t="s">
        <v>38</v>
      </c>
      <c r="C51" s="130"/>
      <c r="D51" s="131"/>
      <c r="E51" s="131" t="s">
        <v>54</v>
      </c>
      <c r="F51" s="159">
        <f>E16-SUM(F20:F44)</f>
        <v>1082.1287788769998</v>
      </c>
      <c r="G51" s="132"/>
      <c r="H51" s="132" t="s">
        <v>55</v>
      </c>
      <c r="I51" s="161">
        <f>E10+F51</f>
        <v>13653.398778877001</v>
      </c>
    </row>
    <row r="52" ht="13.5" thickTop="1"/>
  </sheetData>
  <sheetProtection/>
  <mergeCells count="1">
    <mergeCell ref="B17:C18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&amp;C&amp;"Arial,Gras"ANNEXE 1b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51"/>
  <sheetViews>
    <sheetView showGridLines="0" zoomScalePageLayoutView="0" workbookViewId="0" topLeftCell="A1">
      <selection activeCell="G22" sqref="G22:G44"/>
    </sheetView>
  </sheetViews>
  <sheetFormatPr defaultColWidth="11.421875" defaultRowHeight="12.75"/>
  <cols>
    <col min="1" max="1" width="2.7109375" style="4" customWidth="1"/>
    <col min="2" max="2" width="21.140625" style="4" customWidth="1"/>
    <col min="3" max="3" width="15.8515625" style="4" customWidth="1"/>
    <col min="4" max="4" width="9.421875" style="4" customWidth="1"/>
    <col min="5" max="5" width="11.28125" style="4" customWidth="1"/>
    <col min="6" max="7" width="11.421875" style="4" customWidth="1"/>
    <col min="8" max="8" width="7.57421875" style="4" customWidth="1"/>
    <col min="9" max="16384" width="11.421875" style="4" customWidth="1"/>
  </cols>
  <sheetData>
    <row r="1" ht="13.5" thickBot="1"/>
    <row r="2" spans="2:9" ht="22.5" customHeight="1" thickBot="1" thickTop="1">
      <c r="B2" s="77" t="s">
        <v>0</v>
      </c>
      <c r="C2" s="78"/>
      <c r="D2" s="78"/>
      <c r="E2" s="78"/>
      <c r="F2" s="78"/>
      <c r="G2" s="78"/>
      <c r="H2" s="78"/>
      <c r="I2" s="79"/>
    </row>
    <row r="3" spans="2:9" ht="13.5" thickTop="1">
      <c r="B3" s="80" t="s">
        <v>1</v>
      </c>
      <c r="C3" s="81"/>
      <c r="D3" s="81"/>
      <c r="E3" s="140" t="s">
        <v>2</v>
      </c>
      <c r="F3" s="81"/>
      <c r="G3" s="81"/>
      <c r="H3" s="81"/>
      <c r="I3" s="82"/>
    </row>
    <row r="4" spans="2:9" ht="12.75">
      <c r="B4" s="91" t="s">
        <v>3</v>
      </c>
      <c r="C4" s="92" t="s">
        <v>98</v>
      </c>
      <c r="D4" s="93"/>
      <c r="E4" s="92" t="s">
        <v>4</v>
      </c>
      <c r="F4" s="93"/>
      <c r="G4" s="92"/>
      <c r="H4" s="93"/>
      <c r="I4" s="83"/>
    </row>
    <row r="5" spans="2:9" ht="12.75">
      <c r="B5" s="91" t="s">
        <v>5</v>
      </c>
      <c r="C5" s="92" t="s">
        <v>39</v>
      </c>
      <c r="D5" s="93"/>
      <c r="E5" s="92" t="s">
        <v>5</v>
      </c>
      <c r="F5" s="93"/>
      <c r="G5" s="92"/>
      <c r="H5" s="93"/>
      <c r="I5" s="83"/>
    </row>
    <row r="6" spans="2:9" ht="12.75">
      <c r="B6" s="91" t="s">
        <v>40</v>
      </c>
      <c r="C6" s="92">
        <f>cotisations!D3</f>
        <v>2717</v>
      </c>
      <c r="D6" s="93"/>
      <c r="E6" s="92" t="s">
        <v>6</v>
      </c>
      <c r="F6" s="93"/>
      <c r="G6" s="92"/>
      <c r="H6" s="93"/>
      <c r="I6" s="83"/>
    </row>
    <row r="7" spans="2:9" ht="12.75">
      <c r="B7" s="91" t="s">
        <v>7</v>
      </c>
      <c r="C7" s="94" t="str">
        <f>cotisations!F2</f>
        <v>642  228 128 0012</v>
      </c>
      <c r="D7" s="93"/>
      <c r="E7" s="92" t="s">
        <v>8</v>
      </c>
      <c r="F7" s="93"/>
      <c r="G7" s="92"/>
      <c r="H7" s="93"/>
      <c r="I7" s="83"/>
    </row>
    <row r="8" spans="2:9" ht="12.75">
      <c r="B8" s="91" t="s">
        <v>9</v>
      </c>
      <c r="C8" s="92">
        <f>cotisations!D2</f>
        <v>42623</v>
      </c>
      <c r="D8" s="93"/>
      <c r="E8" s="92" t="s">
        <v>10</v>
      </c>
      <c r="F8" s="93"/>
      <c r="G8" s="92" t="s">
        <v>105</v>
      </c>
      <c r="H8" s="93"/>
      <c r="I8" s="83"/>
    </row>
    <row r="9" spans="2:9" ht="13.5" thickBot="1">
      <c r="B9" s="91"/>
      <c r="C9" s="93"/>
      <c r="D9" s="93"/>
      <c r="E9" s="138" t="s">
        <v>11</v>
      </c>
      <c r="F9" s="93"/>
      <c r="G9" s="92"/>
      <c r="H9" s="93"/>
      <c r="I9" s="83"/>
    </row>
    <row r="10" spans="2:9" ht="13.5" thickTop="1">
      <c r="B10" s="95" t="s">
        <v>12</v>
      </c>
      <c r="C10" s="133"/>
      <c r="D10" s="134"/>
      <c r="E10" s="97">
        <v>20032.58</v>
      </c>
      <c r="F10" s="96"/>
      <c r="G10" s="96"/>
      <c r="H10" s="96"/>
      <c r="I10" s="84"/>
    </row>
    <row r="11" spans="2:9" ht="12.75">
      <c r="B11" s="91" t="s">
        <v>13</v>
      </c>
      <c r="C11" s="135">
        <v>151.67</v>
      </c>
      <c r="D11" s="136">
        <v>13.5</v>
      </c>
      <c r="E11" s="18">
        <f>D11*C11</f>
        <v>2047.5449999999998</v>
      </c>
      <c r="F11" s="93" t="s">
        <v>14</v>
      </c>
      <c r="G11" s="141">
        <f>cotisations!D4</f>
        <v>2589</v>
      </c>
      <c r="H11" s="93"/>
      <c r="I11" s="83"/>
    </row>
    <row r="12" spans="2:9" ht="12.75">
      <c r="B12" s="98"/>
      <c r="C12" s="135"/>
      <c r="D12" s="136"/>
      <c r="E12" s="18">
        <f>IF(C12="","",C12*D12)</f>
      </c>
      <c r="F12" s="93"/>
      <c r="G12" s="93"/>
      <c r="H12" s="93"/>
      <c r="I12" s="83"/>
    </row>
    <row r="13" spans="2:9" ht="12.75">
      <c r="B13" s="91" t="s">
        <v>41</v>
      </c>
      <c r="C13" s="135"/>
      <c r="D13" s="136">
        <f>D11*1.25</f>
        <v>16.875</v>
      </c>
      <c r="E13" s="18">
        <f>IF(C13="","",C13*D13)</f>
      </c>
      <c r="F13" s="93"/>
      <c r="G13" s="93"/>
      <c r="H13" s="93"/>
      <c r="I13" s="83"/>
    </row>
    <row r="14" spans="2:9" ht="12.75">
      <c r="B14" s="91" t="s">
        <v>41</v>
      </c>
      <c r="C14" s="135"/>
      <c r="D14" s="136">
        <f>D11*1.5</f>
        <v>20.25</v>
      </c>
      <c r="E14" s="18">
        <f>IF(C14="","",C14*D14)</f>
      </c>
      <c r="F14" s="93"/>
      <c r="G14" s="93"/>
      <c r="H14" s="93"/>
      <c r="I14" s="83"/>
    </row>
    <row r="15" spans="2:9" ht="12.75">
      <c r="B15" s="91" t="s">
        <v>15</v>
      </c>
      <c r="C15" s="92"/>
      <c r="D15" s="137"/>
      <c r="E15" s="18">
        <v>38</v>
      </c>
      <c r="F15" s="93"/>
      <c r="G15" s="93"/>
      <c r="H15" s="93"/>
      <c r="I15" s="83"/>
    </row>
    <row r="16" spans="2:9" ht="13.5" thickBot="1">
      <c r="B16" s="99" t="s">
        <v>16</v>
      </c>
      <c r="C16" s="138"/>
      <c r="D16" s="139"/>
      <c r="E16" s="19">
        <f>SUM(E11:E15)</f>
        <v>2085.545</v>
      </c>
      <c r="F16" s="100"/>
      <c r="G16" s="100"/>
      <c r="H16" s="100"/>
      <c r="I16" s="85"/>
    </row>
    <row r="17" spans="2:9" ht="14.25" thickBot="1" thickTop="1">
      <c r="B17" s="170" t="s">
        <v>53</v>
      </c>
      <c r="C17" s="171"/>
      <c r="D17" s="101" t="s">
        <v>17</v>
      </c>
      <c r="E17" s="101"/>
      <c r="F17" s="101"/>
      <c r="G17" s="102" t="s">
        <v>18</v>
      </c>
      <c r="H17" s="103"/>
      <c r="I17" s="86"/>
    </row>
    <row r="18" spans="2:9" ht="13.5" thickBot="1">
      <c r="B18" s="172"/>
      <c r="C18" s="173"/>
      <c r="D18" s="104" t="s">
        <v>19</v>
      </c>
      <c r="E18" s="6" t="s">
        <v>20</v>
      </c>
      <c r="F18" s="7" t="s">
        <v>21</v>
      </c>
      <c r="G18" s="5" t="s">
        <v>19</v>
      </c>
      <c r="H18" s="6" t="s">
        <v>20</v>
      </c>
      <c r="I18" s="8" t="s">
        <v>21</v>
      </c>
    </row>
    <row r="19" spans="2:9" ht="13.5" thickBot="1">
      <c r="B19" s="91" t="s">
        <v>22</v>
      </c>
      <c r="C19" s="93"/>
      <c r="D19" s="105">
        <f>IF(G8="cadre",((E$16+I43)*0.97),sb*0.97)</f>
        <v>2022.97865</v>
      </c>
      <c r="E19" s="106">
        <f>cotisations!D8+cotisations!D10</f>
        <v>2.9</v>
      </c>
      <c r="F19" s="107">
        <f>ROUND(D19*E19%,2)</f>
        <v>58.67</v>
      </c>
      <c r="G19" s="108"/>
      <c r="H19" s="106"/>
      <c r="I19" s="87"/>
    </row>
    <row r="20" spans="2:9" ht="12.75">
      <c r="B20" s="91" t="s">
        <v>23</v>
      </c>
      <c r="C20" s="93"/>
      <c r="D20" s="105">
        <f>IF(G8="cadre",((E$16+I43)*0.97),sb*0.97)</f>
        <v>2022.97865</v>
      </c>
      <c r="E20" s="109">
        <f>cotisations!D9</f>
        <v>5.1</v>
      </c>
      <c r="F20" s="110">
        <f>D20*E20%</f>
        <v>103.17191115</v>
      </c>
      <c r="G20" s="108"/>
      <c r="H20" s="109"/>
      <c r="I20" s="87"/>
    </row>
    <row r="21" spans="2:9" ht="12.75">
      <c r="B21" s="111" t="s">
        <v>24</v>
      </c>
      <c r="C21" s="112"/>
      <c r="D21" s="113"/>
      <c r="E21" s="109"/>
      <c r="F21" s="114"/>
      <c r="G21" s="167"/>
      <c r="H21" s="109"/>
      <c r="I21" s="87"/>
    </row>
    <row r="22" spans="2:9" ht="12.75">
      <c r="B22" s="91" t="s">
        <v>25</v>
      </c>
      <c r="C22" s="93"/>
      <c r="D22" s="113">
        <f>sb</f>
        <v>2085.545</v>
      </c>
      <c r="E22" s="109">
        <f>cotisations!D11</f>
        <v>0.75</v>
      </c>
      <c r="F22" s="115">
        <f>ROUND(D22*E22%,2)</f>
        <v>15.64</v>
      </c>
      <c r="G22" s="165">
        <f>sb</f>
        <v>2085.545</v>
      </c>
      <c r="H22" s="109">
        <f>cotisations!E11</f>
        <v>12.8</v>
      </c>
      <c r="I22" s="88">
        <f>ROUND(G22*H22%,2)</f>
        <v>266.95</v>
      </c>
    </row>
    <row r="23" spans="2:9" ht="12.75">
      <c r="B23" s="91" t="s">
        <v>26</v>
      </c>
      <c r="C23" s="93"/>
      <c r="G23" s="165"/>
      <c r="H23" s="109"/>
      <c r="I23" s="88"/>
    </row>
    <row r="24" spans="2:9" ht="12.75">
      <c r="B24" s="91" t="s">
        <v>27</v>
      </c>
      <c r="C24" s="93"/>
      <c r="G24" s="165"/>
      <c r="H24" s="109"/>
      <c r="I24" s="88"/>
    </row>
    <row r="25" spans="2:9" ht="12.75">
      <c r="B25" s="117" t="s">
        <v>28</v>
      </c>
      <c r="C25" s="93"/>
      <c r="D25" s="113">
        <f>sb</f>
        <v>2085.545</v>
      </c>
      <c r="E25" s="109">
        <v>0.1</v>
      </c>
      <c r="F25" s="115">
        <f>D25*E25%</f>
        <v>2.085545</v>
      </c>
      <c r="G25" s="165">
        <f>sb</f>
        <v>2085.545</v>
      </c>
      <c r="H25" s="109">
        <f>cotisations!E13</f>
        <v>1.6</v>
      </c>
      <c r="I25" s="88">
        <f>ROUND(G25*H25%,2)</f>
        <v>33.37</v>
      </c>
    </row>
    <row r="26" spans="2:9" ht="12.75">
      <c r="B26" s="117" t="s">
        <v>29</v>
      </c>
      <c r="C26" s="93"/>
      <c r="D26" s="113">
        <f>IF(sb&lt;pfd,sb,pfd)</f>
        <v>2085.545</v>
      </c>
      <c r="E26" s="109">
        <f>cotisations!D12</f>
        <v>6.55</v>
      </c>
      <c r="F26" s="115">
        <f>ROUND(D26*E26%,2)</f>
        <v>136.6</v>
      </c>
      <c r="G26" s="166">
        <f>IF(sb&lt;pfd,sb,pfd)</f>
        <v>2085.545</v>
      </c>
      <c r="H26" s="109">
        <f>cotisations!E12</f>
        <v>8.2</v>
      </c>
      <c r="I26" s="89">
        <f>ROUND(G26*H26%,2)</f>
        <v>171.01</v>
      </c>
    </row>
    <row r="27" spans="2:9" ht="12.75">
      <c r="B27" s="91" t="s">
        <v>30</v>
      </c>
      <c r="C27" s="93"/>
      <c r="D27" s="113"/>
      <c r="E27" s="109"/>
      <c r="F27" s="114"/>
      <c r="G27" s="165">
        <f>sb</f>
        <v>2085.545</v>
      </c>
      <c r="H27" s="109">
        <f>cotisations!E18</f>
        <v>7.3</v>
      </c>
      <c r="I27" s="88">
        <f>ROUND(G27*H27%,2)</f>
        <v>152.24</v>
      </c>
    </row>
    <row r="28" spans="2:9" ht="12.75">
      <c r="B28" s="91" t="s">
        <v>31</v>
      </c>
      <c r="C28" s="93"/>
      <c r="D28" s="113"/>
      <c r="E28" s="109"/>
      <c r="F28" s="114"/>
      <c r="G28" s="165">
        <f>sb</f>
        <v>2085.545</v>
      </c>
      <c r="H28" s="109">
        <f>cotisations!E15</f>
        <v>5.4</v>
      </c>
      <c r="I28" s="88">
        <f>ROUND(G28*H28%,2)</f>
        <v>112.62</v>
      </c>
    </row>
    <row r="29" spans="2:9" ht="12.75">
      <c r="B29" s="91" t="s">
        <v>32</v>
      </c>
      <c r="C29" s="93"/>
      <c r="D29" s="113"/>
      <c r="E29" s="109"/>
      <c r="F29" s="114"/>
      <c r="G29" s="165"/>
      <c r="H29" s="109"/>
      <c r="I29" s="88"/>
    </row>
    <row r="30" spans="2:9" ht="12.75">
      <c r="B30" s="91" t="s">
        <v>42</v>
      </c>
      <c r="C30" s="93"/>
      <c r="D30" s="113"/>
      <c r="E30" s="109"/>
      <c r="F30" s="114"/>
      <c r="G30" s="165">
        <f>sb</f>
        <v>2085.545</v>
      </c>
      <c r="H30" s="109">
        <v>0.4</v>
      </c>
      <c r="I30" s="88">
        <f>ROUND(G30*H30%,2)</f>
        <v>8.34</v>
      </c>
    </row>
    <row r="31" spans="2:9" ht="12.75">
      <c r="B31" s="91" t="s">
        <v>43</v>
      </c>
      <c r="C31" s="93"/>
      <c r="D31" s="113"/>
      <c r="E31" s="109"/>
      <c r="F31" s="114"/>
      <c r="G31" s="166">
        <f>IF(sb&lt;pfd,sb,pfd)</f>
        <v>2085.545</v>
      </c>
      <c r="H31" s="109">
        <f>cotisations!E16</f>
        <v>0.1</v>
      </c>
      <c r="I31" s="89">
        <f>ROUND(G31*H31%,2)</f>
        <v>2.09</v>
      </c>
    </row>
    <row r="32" spans="2:9" ht="12.75">
      <c r="B32" s="111" t="s">
        <v>72</v>
      </c>
      <c r="C32" s="93"/>
      <c r="D32" s="113"/>
      <c r="E32" s="109"/>
      <c r="F32" s="114"/>
      <c r="G32" s="167"/>
      <c r="H32" s="109"/>
      <c r="I32" s="87"/>
    </row>
    <row r="33" spans="2:9" ht="12.75">
      <c r="B33" s="119" t="s">
        <v>79</v>
      </c>
      <c r="C33" s="93"/>
      <c r="D33" s="113">
        <f>IF(sb&lt;pfd,sb,pfd)</f>
        <v>2085.545</v>
      </c>
      <c r="E33" s="109">
        <f>cotisations!D35</f>
        <v>2.4</v>
      </c>
      <c r="F33" s="115">
        <f>ROUND(D33*E33%,2)</f>
        <v>50.05</v>
      </c>
      <c r="G33" s="165">
        <f>IF(sb&lt;pfd,sb,pfd)</f>
        <v>2085.545</v>
      </c>
      <c r="H33" s="109">
        <f>cotisations!E35</f>
        <v>4</v>
      </c>
      <c r="I33" s="88">
        <f>ROUND(G33*H33%,2)</f>
        <v>83.42</v>
      </c>
    </row>
    <row r="34" spans="2:9" ht="12.75">
      <c r="B34" s="119" t="s">
        <v>80</v>
      </c>
      <c r="C34" s="93"/>
      <c r="D34" s="113">
        <f>IF(AND(sb&gt;=pfd,sb&lt;=4*pfd),sb-pfd,IF(sb&gt;4*pfd,3*pfd,0))</f>
        <v>0</v>
      </c>
      <c r="E34" s="109">
        <f>cotisations!D36</f>
        <v>2.4</v>
      </c>
      <c r="F34" s="115">
        <f>ROUND(D34*E34%,2)</f>
        <v>0</v>
      </c>
      <c r="G34" s="116">
        <f>IF(AND(sb&gt;=pfd,sb&lt;=4*pfd),sb-pfd,IF(sb&gt;4*pfd,3*pfd,0))</f>
        <v>0</v>
      </c>
      <c r="H34" s="109">
        <f>IF(sb&gt;pfd,cotisations!E36,0)</f>
        <v>0</v>
      </c>
      <c r="I34" s="88">
        <f>ROUND(G34*H34%,2)</f>
        <v>0</v>
      </c>
    </row>
    <row r="35" spans="2:9" ht="12.75">
      <c r="B35" s="119" t="s">
        <v>33</v>
      </c>
      <c r="C35" s="93"/>
      <c r="D35" s="113"/>
      <c r="E35" s="109"/>
      <c r="F35" s="115"/>
      <c r="G35" s="116">
        <f>IF(sb&gt;4*pfd,4*pfd,sb)</f>
        <v>2085.545</v>
      </c>
      <c r="H35" s="109">
        <f>cotisations!E37</f>
        <v>0.45</v>
      </c>
      <c r="I35" s="88">
        <f>ROUND(G35*H35%,2)</f>
        <v>9.38</v>
      </c>
    </row>
    <row r="36" spans="2:9" ht="12.75">
      <c r="B36" s="120" t="s">
        <v>81</v>
      </c>
      <c r="C36" s="93"/>
      <c r="D36" s="121"/>
      <c r="E36" s="122"/>
      <c r="F36" s="115"/>
      <c r="G36" s="116"/>
      <c r="H36" s="122"/>
      <c r="I36" s="90"/>
    </row>
    <row r="37" spans="2:9" ht="12.75">
      <c r="B37" s="119" t="s">
        <v>82</v>
      </c>
      <c r="C37" s="93"/>
      <c r="D37" s="121">
        <f>IF(G8="employé",IF(sb&lt;=pfd,sb,pfd),0)</f>
        <v>0</v>
      </c>
      <c r="E37" s="122">
        <f>cotisations!D22+cotisations!D23</f>
        <v>3.8</v>
      </c>
      <c r="F37" s="115">
        <f>ROUND(D37*E37%,2)</f>
        <v>0</v>
      </c>
      <c r="G37" s="116">
        <f>IF(G8="employe",IF(sb&lt;pfd,sb,pfd),0)</f>
        <v>0</v>
      </c>
      <c r="H37" s="122">
        <f>cotisations!E22+cotisations!E28</f>
        <v>5.7</v>
      </c>
      <c r="I37" s="90">
        <f>ROUND(G37*H37%,2)</f>
        <v>0</v>
      </c>
    </row>
    <row r="38" spans="2:9" ht="12.75">
      <c r="B38" s="119" t="s">
        <v>83</v>
      </c>
      <c r="C38" s="93"/>
      <c r="D38" s="121">
        <f>IF(G8="employé",IF(sb&gt;3*pfd,3*pfd,IF(sb&gt;pfd,sb-pfd,0)),0)</f>
        <v>0</v>
      </c>
      <c r="E38" s="122">
        <f>cotisations!D24+cotisations!D25</f>
        <v>7.9</v>
      </c>
      <c r="F38" s="115">
        <f>D38*E38</f>
        <v>0</v>
      </c>
      <c r="G38" s="116">
        <f>IF(G8="employe",IF(sb&gt;3*pfd,3*pfd,IF(sb&gt;pfd,sb-pfd,0)),0)</f>
        <v>0</v>
      </c>
      <c r="H38" s="122">
        <f>cotisations!E24+cotisations!E25</f>
        <v>11.8</v>
      </c>
      <c r="I38" s="90">
        <f>G38*H38</f>
        <v>0</v>
      </c>
    </row>
    <row r="39" spans="2:9" ht="12.75">
      <c r="B39" s="120" t="s">
        <v>84</v>
      </c>
      <c r="C39" s="93"/>
      <c r="D39" s="113"/>
      <c r="E39" s="109"/>
      <c r="F39" s="115"/>
      <c r="G39" s="116"/>
      <c r="H39" s="109"/>
      <c r="I39" s="88"/>
    </row>
    <row r="40" spans="2:9" ht="12.75">
      <c r="B40" s="119" t="s">
        <v>85</v>
      </c>
      <c r="C40" s="93"/>
      <c r="D40" s="113">
        <f>IF(G8&lt;&gt;"cadre",0,IF(sb&lt;pfd,sb,pfd))</f>
        <v>0</v>
      </c>
      <c r="E40" s="109">
        <f>cotisations!D27+cotisations!D28</f>
        <v>3.8</v>
      </c>
      <c r="F40" s="115">
        <f>ROUND(D40*E40%,2)</f>
        <v>0</v>
      </c>
      <c r="G40" s="116">
        <f>IF(G8&lt;&gt;"cadre",0,IF(sb&lt;pfd,sb,pfd))</f>
        <v>0</v>
      </c>
      <c r="H40" s="109">
        <f>cotisations!E27+cotisations!E28</f>
        <v>5.7</v>
      </c>
      <c r="I40" s="88">
        <f>ROUND(G40*H40%,2)</f>
        <v>0</v>
      </c>
    </row>
    <row r="41" spans="2:9" ht="12.75">
      <c r="B41" s="119" t="s">
        <v>86</v>
      </c>
      <c r="C41" s="93"/>
      <c r="D41" s="113">
        <f>IF(G8&lt;&gt;"cadre",0,IF(AND(sb&gt;=pfd,sb&lt;=4*pfd),sb-pfd,IF(sb&gt;4*pfd,4*pfd-pfd,0)))</f>
        <v>0</v>
      </c>
      <c r="E41" s="109">
        <f>cotisations!D29+cotisations!D30</f>
        <v>8.4</v>
      </c>
      <c r="F41" s="115">
        <f>ROUND(D41*E41%,2)</f>
        <v>0</v>
      </c>
      <c r="G41" s="116">
        <f>IF(G8&lt;&gt;"cadre",0,IF(AND(sb&gt;=pfd,sb&lt;=4*pfd),sb-pfd,IF(sb&gt;4*pfd,4*pfd-pfd,0)))</f>
        <v>0</v>
      </c>
      <c r="H41" s="109">
        <f>cotisations!E29+cotisations!E30</f>
        <v>13.8</v>
      </c>
      <c r="I41" s="88">
        <f>ROUND(G41*H41%,2)</f>
        <v>0</v>
      </c>
    </row>
    <row r="42" spans="2:9" ht="12.75">
      <c r="B42" s="91" t="s">
        <v>67</v>
      </c>
      <c r="C42" s="93"/>
      <c r="D42" s="113">
        <f>IF(G8&lt;&gt;"cadre",0,IF(AND(sb&gt;=pfd,sb&lt;=4*pfd),sb-pfd,IF(sb&gt;4*pfd,4*pfd-pfd,0)))</f>
        <v>0</v>
      </c>
      <c r="E42" s="109">
        <f>cotisations!D31</f>
        <v>0.024</v>
      </c>
      <c r="F42" s="115">
        <f>ROUND(D42*E42%,2)</f>
        <v>0</v>
      </c>
      <c r="G42" s="116">
        <f>IF(G8&lt;&gt;"cadre",0,IF(AND(sb&gt;=pfd,sb&lt;=4*pfd),sb-pfd,IF(sb&gt;4*pfd,4*pfd-pfd,0)))</f>
        <v>0</v>
      </c>
      <c r="H42" s="109">
        <f>cotisations!E31</f>
        <v>0.036</v>
      </c>
      <c r="I42" s="88">
        <f>ROUND(G42*H42%,2)</f>
        <v>0</v>
      </c>
    </row>
    <row r="43" spans="2:9" ht="12.75">
      <c r="B43" s="91" t="s">
        <v>70</v>
      </c>
      <c r="C43" s="93"/>
      <c r="D43" s="113"/>
      <c r="E43" s="109"/>
      <c r="F43" s="115"/>
      <c r="G43" s="116">
        <f>IF(G8&lt;&gt;"cadre",0,IF(sb&lt;pfd,sb,pfd))</f>
        <v>0</v>
      </c>
      <c r="H43" s="109">
        <f>cotisations!E32</f>
        <v>1.5</v>
      </c>
      <c r="I43" s="88">
        <f>ROUND(G43*H43%,2)</f>
        <v>0</v>
      </c>
    </row>
    <row r="44" spans="2:9" ht="13.5" thickBot="1">
      <c r="B44" s="91" t="s">
        <v>87</v>
      </c>
      <c r="C44" s="93"/>
      <c r="D44" s="123">
        <f>IF(G8&lt;&gt;"cadre",0,IF(sb&lt;8*pfd,sb,8*pfd))</f>
        <v>0</v>
      </c>
      <c r="E44" s="124">
        <f>cotisations!D33</f>
        <v>0.13</v>
      </c>
      <c r="F44" s="149">
        <f>ROUND(D44*E44%,2)</f>
        <v>0</v>
      </c>
      <c r="G44" s="125">
        <f>IF(G8&lt;&gt;"cadre",0,IF(sb&gt;8*pfd,8*pfd,sb))</f>
        <v>0</v>
      </c>
      <c r="H44" s="124">
        <f>cotisations!E33</f>
        <v>0.22</v>
      </c>
      <c r="I44" s="150">
        <f>ROUND(G44*H44%,2)</f>
        <v>0</v>
      </c>
    </row>
    <row r="45" spans="2:9" ht="14.25" customHeight="1" thickBot="1">
      <c r="B45" s="126" t="s">
        <v>34</v>
      </c>
      <c r="C45" s="127"/>
      <c r="D45" s="127"/>
      <c r="E45" s="127"/>
      <c r="F45" s="152">
        <f>SUM(F19:F44)</f>
        <v>366.21745615</v>
      </c>
      <c r="G45" s="146"/>
      <c r="H45" s="127"/>
      <c r="I45" s="151">
        <f>SUM(I19:I44)</f>
        <v>839.42</v>
      </c>
    </row>
    <row r="46" spans="2:9" ht="12.75">
      <c r="B46" s="91" t="s">
        <v>35</v>
      </c>
      <c r="C46" s="93"/>
      <c r="D46" s="93"/>
      <c r="E46" s="93"/>
      <c r="F46" s="144"/>
      <c r="G46" s="147"/>
      <c r="H46" s="93"/>
      <c r="I46" s="142"/>
    </row>
    <row r="47" spans="2:9" ht="12.75">
      <c r="B47" s="91" t="s">
        <v>36</v>
      </c>
      <c r="C47" s="93"/>
      <c r="D47" s="93"/>
      <c r="E47" s="93"/>
      <c r="F47" s="144"/>
      <c r="G47" s="147"/>
      <c r="H47" s="93"/>
      <c r="I47" s="142"/>
    </row>
    <row r="48" spans="2:9" ht="12.75">
      <c r="B48" s="91"/>
      <c r="C48" s="93"/>
      <c r="D48" s="93"/>
      <c r="E48" s="93"/>
      <c r="F48" s="92"/>
      <c r="G48" s="147"/>
      <c r="H48" s="93"/>
      <c r="I48" s="142"/>
    </row>
    <row r="49" spans="2:9" ht="12.75">
      <c r="B49" s="128" t="s">
        <v>37</v>
      </c>
      <c r="C49" s="93"/>
      <c r="D49" s="93"/>
      <c r="E49" s="93"/>
      <c r="F49" s="154">
        <f>E16-(F45+F46)+F47</f>
        <v>1719.32754385</v>
      </c>
      <c r="G49" s="147"/>
      <c r="H49" s="93"/>
      <c r="I49" s="142"/>
    </row>
    <row r="50" spans="2:9" ht="13.5" thickBot="1">
      <c r="B50" s="91"/>
      <c r="C50" s="93"/>
      <c r="D50" s="93"/>
      <c r="E50" s="93"/>
      <c r="F50" s="155"/>
      <c r="G50" s="147"/>
      <c r="H50" s="93"/>
      <c r="I50" s="153"/>
    </row>
    <row r="51" spans="2:9" ht="13.5" thickBot="1">
      <c r="B51" s="129" t="s">
        <v>38</v>
      </c>
      <c r="C51" s="130"/>
      <c r="D51" s="131"/>
      <c r="E51" s="131" t="s">
        <v>54</v>
      </c>
      <c r="F51" s="145">
        <f>E16-SUM(F20:F44)</f>
        <v>1777.99754385</v>
      </c>
      <c r="G51" s="148"/>
      <c r="H51" s="132" t="s">
        <v>55</v>
      </c>
      <c r="I51" s="143">
        <f>E10+F51</f>
        <v>21810.577543850002</v>
      </c>
    </row>
    <row r="52" ht="13.5" thickTop="1"/>
  </sheetData>
  <sheetProtection/>
  <mergeCells count="1">
    <mergeCell ref="B17:C18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&amp;C&amp;"Arial,Gras"ANNEXE 1c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selection activeCell="I5" sqref="I5"/>
    </sheetView>
  </sheetViews>
  <sheetFormatPr defaultColWidth="11.421875" defaultRowHeight="12.75"/>
  <cols>
    <col min="1" max="1" width="3.28125" style="0" customWidth="1"/>
    <col min="2" max="2" width="29.140625" style="0" customWidth="1"/>
    <col min="3" max="3" width="13.00390625" style="0" customWidth="1"/>
    <col min="4" max="4" width="11.00390625" style="0" customWidth="1"/>
    <col min="5" max="5" width="12.8515625" style="0" customWidth="1"/>
    <col min="6" max="6" width="26.57421875" style="0" customWidth="1"/>
    <col min="7" max="7" width="17.140625" style="0" customWidth="1"/>
    <col min="8" max="8" width="8.57421875" style="0" customWidth="1"/>
    <col min="9" max="9" width="7.00390625" style="0" customWidth="1"/>
    <col min="10" max="10" width="7.8515625" style="0" customWidth="1"/>
  </cols>
  <sheetData>
    <row r="1" spans="1:6" ht="12.75">
      <c r="A1" s="53"/>
      <c r="B1" s="9" t="s">
        <v>97</v>
      </c>
      <c r="C1" s="9"/>
      <c r="D1" s="9"/>
      <c r="E1" s="10"/>
      <c r="F1" s="10"/>
    </row>
    <row r="2" spans="1:6" ht="12.75">
      <c r="A2" s="53"/>
      <c r="B2" s="11" t="s">
        <v>44</v>
      </c>
      <c r="C2" s="11"/>
      <c r="D2" s="12">
        <v>42623</v>
      </c>
      <c r="E2" s="13" t="s">
        <v>45</v>
      </c>
      <c r="F2" s="14" t="s">
        <v>46</v>
      </c>
    </row>
    <row r="3" spans="1:6" ht="12.75">
      <c r="A3" s="53"/>
      <c r="B3" s="15" t="s">
        <v>47</v>
      </c>
      <c r="C3" s="15"/>
      <c r="D3" s="16">
        <v>2717</v>
      </c>
      <c r="E3" s="13" t="s">
        <v>48</v>
      </c>
      <c r="F3" s="169" t="s">
        <v>106</v>
      </c>
    </row>
    <row r="4" spans="1:4" ht="12.75">
      <c r="A4" s="1" t="s">
        <v>49</v>
      </c>
      <c r="B4" s="1"/>
      <c r="C4" s="1"/>
      <c r="D4" s="54">
        <v>2589</v>
      </c>
    </row>
    <row r="5" ht="13.5" thickBot="1"/>
    <row r="6" spans="1:7" ht="13.5" thickBot="1">
      <c r="A6" s="24"/>
      <c r="B6" s="3"/>
      <c r="C6" s="31" t="s">
        <v>61</v>
      </c>
      <c r="D6" s="25" t="s">
        <v>88</v>
      </c>
      <c r="E6" s="22" t="s">
        <v>89</v>
      </c>
      <c r="F6" s="23" t="s">
        <v>57</v>
      </c>
      <c r="G6" s="75"/>
    </row>
    <row r="7" spans="1:6" ht="13.5" thickBot="1">
      <c r="A7" s="52" t="s">
        <v>71</v>
      </c>
      <c r="B7" s="26"/>
      <c r="C7" s="55"/>
      <c r="D7" s="56"/>
      <c r="E7" s="56"/>
      <c r="F7" s="57"/>
    </row>
    <row r="8" spans="1:6" ht="12.75">
      <c r="A8" s="35"/>
      <c r="B8" s="27" t="s">
        <v>50</v>
      </c>
      <c r="C8" s="38" t="s">
        <v>62</v>
      </c>
      <c r="D8" s="61">
        <v>2.4</v>
      </c>
      <c r="E8" s="62"/>
      <c r="F8" s="174" t="s">
        <v>93</v>
      </c>
    </row>
    <row r="9" spans="1:6" ht="12.75">
      <c r="A9" s="36"/>
      <c r="B9" s="28" t="s">
        <v>23</v>
      </c>
      <c r="C9" s="39" t="s">
        <v>62</v>
      </c>
      <c r="D9" s="63">
        <v>5.1</v>
      </c>
      <c r="E9" s="64"/>
      <c r="F9" s="175"/>
    </row>
    <row r="10" spans="1:6" ht="12.75">
      <c r="A10" s="36"/>
      <c r="B10" s="28" t="s">
        <v>58</v>
      </c>
      <c r="C10" s="39" t="s">
        <v>62</v>
      </c>
      <c r="D10" s="63">
        <v>0.5</v>
      </c>
      <c r="E10" s="64"/>
      <c r="F10" s="176"/>
    </row>
    <row r="11" spans="1:7" ht="12.75">
      <c r="A11" s="36"/>
      <c r="B11" s="28" t="s">
        <v>25</v>
      </c>
      <c r="C11" s="39" t="s">
        <v>62</v>
      </c>
      <c r="D11" s="63">
        <v>0.75</v>
      </c>
      <c r="E11" s="64">
        <v>12.8</v>
      </c>
      <c r="F11" s="2" t="s">
        <v>94</v>
      </c>
      <c r="G11" s="20"/>
    </row>
    <row r="12" spans="1:7" ht="12.75">
      <c r="A12" s="36"/>
      <c r="B12" s="28" t="s">
        <v>95</v>
      </c>
      <c r="C12" s="39" t="s">
        <v>62</v>
      </c>
      <c r="D12" s="63">
        <v>6.55</v>
      </c>
      <c r="E12" s="64">
        <v>8.2</v>
      </c>
      <c r="F12" s="2" t="s">
        <v>99</v>
      </c>
      <c r="G12" s="20"/>
    </row>
    <row r="13" spans="1:7" ht="12.75">
      <c r="A13" s="36"/>
      <c r="B13" s="28" t="s">
        <v>96</v>
      </c>
      <c r="C13" s="39" t="s">
        <v>62</v>
      </c>
      <c r="D13" s="63">
        <v>0.1</v>
      </c>
      <c r="E13" s="64">
        <v>1.6</v>
      </c>
      <c r="F13" s="2" t="s">
        <v>56</v>
      </c>
      <c r="G13" s="20"/>
    </row>
    <row r="14" spans="1:8" ht="12.75">
      <c r="A14" s="36"/>
      <c r="B14" s="28" t="s">
        <v>26</v>
      </c>
      <c r="C14" s="39" t="s">
        <v>62</v>
      </c>
      <c r="D14" s="63"/>
      <c r="E14" s="64"/>
      <c r="F14" s="2" t="s">
        <v>56</v>
      </c>
      <c r="G14" s="20"/>
      <c r="H14" s="21"/>
    </row>
    <row r="15" spans="1:7" ht="12.75">
      <c r="A15" s="36"/>
      <c r="B15" s="28" t="s">
        <v>31</v>
      </c>
      <c r="C15" s="39" t="s">
        <v>62</v>
      </c>
      <c r="D15" s="63"/>
      <c r="E15" s="64">
        <v>5.4</v>
      </c>
      <c r="F15" s="2" t="s">
        <v>56</v>
      </c>
      <c r="G15" s="20"/>
    </row>
    <row r="16" spans="1:6" ht="12.75">
      <c r="A16" s="36"/>
      <c r="B16" s="28" t="s">
        <v>90</v>
      </c>
      <c r="C16" s="39" t="s">
        <v>62</v>
      </c>
      <c r="D16" s="63"/>
      <c r="E16" s="64">
        <v>0.1</v>
      </c>
      <c r="F16" s="2" t="s">
        <v>99</v>
      </c>
    </row>
    <row r="17" spans="1:7" ht="12.75">
      <c r="A17" s="36"/>
      <c r="B17" s="28" t="s">
        <v>91</v>
      </c>
      <c r="C17" s="39" t="s">
        <v>62</v>
      </c>
      <c r="D17" s="63"/>
      <c r="E17" s="64">
        <v>0.4</v>
      </c>
      <c r="F17" s="2" t="s">
        <v>56</v>
      </c>
      <c r="G17" s="20"/>
    </row>
    <row r="18" spans="1:6" ht="12.75">
      <c r="A18" s="69"/>
      <c r="B18" s="70" t="s">
        <v>51</v>
      </c>
      <c r="C18" s="71" t="s">
        <v>62</v>
      </c>
      <c r="D18" s="72"/>
      <c r="E18" s="73">
        <v>7.3</v>
      </c>
      <c r="F18" s="74" t="s">
        <v>56</v>
      </c>
    </row>
    <row r="19" spans="1:7" ht="13.5" thickBot="1">
      <c r="A19" s="37"/>
      <c r="B19" s="41" t="s">
        <v>92</v>
      </c>
      <c r="C19" s="40" t="s">
        <v>62</v>
      </c>
      <c r="D19" s="65"/>
      <c r="E19" s="66"/>
      <c r="F19" s="74" t="s">
        <v>56</v>
      </c>
      <c r="G19" s="75"/>
    </row>
    <row r="20" spans="1:6" ht="12.75">
      <c r="A20" s="42" t="s">
        <v>73</v>
      </c>
      <c r="B20" s="47"/>
      <c r="C20" s="58"/>
      <c r="D20" s="67"/>
      <c r="E20" s="62"/>
      <c r="F20" s="59"/>
    </row>
    <row r="21" spans="1:7" ht="12.75">
      <c r="A21" s="36"/>
      <c r="B21" s="29" t="s">
        <v>52</v>
      </c>
      <c r="C21" s="43"/>
      <c r="D21" s="63"/>
      <c r="E21" s="64"/>
      <c r="F21" s="2"/>
      <c r="G21" s="20"/>
    </row>
    <row r="22" spans="1:6" ht="12.75">
      <c r="A22" s="36"/>
      <c r="B22" s="30" t="s">
        <v>74</v>
      </c>
      <c r="C22" s="44" t="s">
        <v>63</v>
      </c>
      <c r="D22" s="63">
        <v>3</v>
      </c>
      <c r="E22" s="64">
        <v>4.5</v>
      </c>
      <c r="F22" s="2" t="s">
        <v>99</v>
      </c>
    </row>
    <row r="23" spans="1:6" ht="12.75">
      <c r="A23" s="36"/>
      <c r="B23" s="30" t="s">
        <v>59</v>
      </c>
      <c r="C23" s="44" t="s">
        <v>63</v>
      </c>
      <c r="D23" s="63">
        <v>0.8</v>
      </c>
      <c r="E23" s="64">
        <v>1.2</v>
      </c>
      <c r="F23" s="2" t="s">
        <v>99</v>
      </c>
    </row>
    <row r="24" spans="1:6" ht="12.75">
      <c r="A24" s="36"/>
      <c r="B24" s="30" t="s">
        <v>75</v>
      </c>
      <c r="C24" s="44" t="s">
        <v>63</v>
      </c>
      <c r="D24" s="63">
        <v>7</v>
      </c>
      <c r="E24" s="64">
        <v>10.5</v>
      </c>
      <c r="F24" s="2" t="s">
        <v>100</v>
      </c>
    </row>
    <row r="25" spans="1:7" ht="12.75">
      <c r="A25" s="36"/>
      <c r="B25" s="30" t="s">
        <v>60</v>
      </c>
      <c r="C25" s="44" t="s">
        <v>63</v>
      </c>
      <c r="D25" s="63">
        <v>0.9</v>
      </c>
      <c r="E25" s="64">
        <v>1.3</v>
      </c>
      <c r="F25" s="2" t="s">
        <v>100</v>
      </c>
      <c r="G25" s="76"/>
    </row>
    <row r="26" spans="1:6" ht="12.75">
      <c r="A26" s="36"/>
      <c r="B26" s="29" t="s">
        <v>68</v>
      </c>
      <c r="C26" s="43"/>
      <c r="D26" s="63"/>
      <c r="E26" s="64"/>
      <c r="F26" s="2"/>
    </row>
    <row r="27" spans="1:6" ht="12.75">
      <c r="A27" s="36"/>
      <c r="B27" s="30" t="s">
        <v>76</v>
      </c>
      <c r="C27" s="39" t="s">
        <v>63</v>
      </c>
      <c r="D27" s="63">
        <v>3</v>
      </c>
      <c r="E27" s="64">
        <v>4.5</v>
      </c>
      <c r="F27" s="2" t="s">
        <v>99</v>
      </c>
    </row>
    <row r="28" spans="1:6" ht="12.75">
      <c r="A28" s="36"/>
      <c r="B28" s="30" t="s">
        <v>64</v>
      </c>
      <c r="C28" s="39" t="s">
        <v>63</v>
      </c>
      <c r="D28" s="63">
        <v>0.8</v>
      </c>
      <c r="E28" s="64">
        <v>1.2</v>
      </c>
      <c r="F28" s="2" t="s">
        <v>99</v>
      </c>
    </row>
    <row r="29" spans="1:6" ht="12.75">
      <c r="A29" s="36"/>
      <c r="B29" s="30" t="s">
        <v>77</v>
      </c>
      <c r="C29" s="44" t="s">
        <v>65</v>
      </c>
      <c r="D29" s="63">
        <v>7.5</v>
      </c>
      <c r="E29" s="64">
        <v>12.5</v>
      </c>
      <c r="F29" s="2" t="s">
        <v>101</v>
      </c>
    </row>
    <row r="30" spans="1:6" ht="12.75">
      <c r="A30" s="36"/>
      <c r="B30" s="30" t="s">
        <v>66</v>
      </c>
      <c r="C30" s="44" t="s">
        <v>65</v>
      </c>
      <c r="D30" s="63">
        <v>0.9</v>
      </c>
      <c r="E30" s="64">
        <v>1.3</v>
      </c>
      <c r="F30" s="2" t="s">
        <v>101</v>
      </c>
    </row>
    <row r="31" spans="1:10" ht="12.75">
      <c r="A31" s="36"/>
      <c r="B31" s="30" t="s">
        <v>67</v>
      </c>
      <c r="C31" s="44" t="s">
        <v>65</v>
      </c>
      <c r="D31" s="63">
        <v>0.024</v>
      </c>
      <c r="E31" s="64">
        <v>0.036</v>
      </c>
      <c r="F31" s="2" t="s">
        <v>101</v>
      </c>
      <c r="G31" s="4"/>
      <c r="H31" s="4"/>
      <c r="I31" s="4"/>
      <c r="J31" s="4"/>
    </row>
    <row r="32" spans="1:10" ht="12.75">
      <c r="A32" s="36"/>
      <c r="B32" s="30" t="s">
        <v>70</v>
      </c>
      <c r="C32" s="44" t="s">
        <v>65</v>
      </c>
      <c r="D32" s="63"/>
      <c r="E32" s="64">
        <v>1.5</v>
      </c>
      <c r="F32" s="2" t="s">
        <v>99</v>
      </c>
      <c r="G32" s="4"/>
      <c r="H32" s="4"/>
      <c r="I32" s="4"/>
      <c r="J32" s="4"/>
    </row>
    <row r="33" spans="1:10" ht="13.5" thickBot="1">
      <c r="A33" s="37"/>
      <c r="B33" s="46" t="s">
        <v>69</v>
      </c>
      <c r="C33" s="45" t="s">
        <v>65</v>
      </c>
      <c r="D33" s="65">
        <v>0.13</v>
      </c>
      <c r="E33" s="66">
        <v>0.22</v>
      </c>
      <c r="F33" s="34" t="s">
        <v>102</v>
      </c>
      <c r="G33" s="4"/>
      <c r="H33" s="4"/>
      <c r="I33" s="4"/>
      <c r="J33" s="4"/>
    </row>
    <row r="34" spans="1:10" ht="12.75">
      <c r="A34" s="48" t="s">
        <v>78</v>
      </c>
      <c r="B34" s="51"/>
      <c r="C34" s="60"/>
      <c r="D34" s="67"/>
      <c r="E34" s="62"/>
      <c r="F34" s="59"/>
      <c r="G34" s="4"/>
      <c r="H34" s="4"/>
      <c r="I34" s="4"/>
      <c r="J34" s="4"/>
    </row>
    <row r="35" spans="1:10" ht="12.75">
      <c r="A35" s="36"/>
      <c r="B35" s="32" t="s">
        <v>79</v>
      </c>
      <c r="C35" s="49" t="s">
        <v>72</v>
      </c>
      <c r="D35" s="63">
        <v>2.4</v>
      </c>
      <c r="E35" s="64">
        <v>4</v>
      </c>
      <c r="F35" s="2" t="s">
        <v>99</v>
      </c>
      <c r="G35" s="4"/>
      <c r="H35" s="4"/>
      <c r="I35" s="4"/>
      <c r="J35" s="4"/>
    </row>
    <row r="36" spans="1:10" ht="12.75">
      <c r="A36" s="36"/>
      <c r="B36" s="32" t="s">
        <v>80</v>
      </c>
      <c r="C36" s="49" t="s">
        <v>72</v>
      </c>
      <c r="D36" s="63">
        <v>2.4</v>
      </c>
      <c r="E36" s="68">
        <v>4</v>
      </c>
      <c r="F36" s="2" t="s">
        <v>101</v>
      </c>
      <c r="G36" s="4"/>
      <c r="H36" s="4"/>
      <c r="I36" s="4"/>
      <c r="J36" s="4"/>
    </row>
    <row r="37" spans="1:6" ht="13.5" thickBot="1">
      <c r="A37" s="37"/>
      <c r="B37" s="33" t="s">
        <v>33</v>
      </c>
      <c r="C37" s="50" t="s">
        <v>72</v>
      </c>
      <c r="D37" s="65"/>
      <c r="E37" s="66">
        <v>0.45</v>
      </c>
      <c r="F37" s="34" t="s">
        <v>102</v>
      </c>
    </row>
    <row r="38" ht="12.75">
      <c r="B38" s="4"/>
    </row>
  </sheetData>
  <sheetProtection/>
  <mergeCells count="1">
    <mergeCell ref="F8:F10"/>
  </mergeCells>
  <printOptions horizontalCentered="1" verticalCentered="1"/>
  <pageMargins left="0.3937007874015748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2007-01-18T12:58:52Z</cp:lastPrinted>
  <dcterms:created xsi:type="dcterms:W3CDTF">1999-04-07T09:13:26Z</dcterms:created>
  <dcterms:modified xsi:type="dcterms:W3CDTF">2011-01-26T13:20:59Z</dcterms:modified>
  <cp:category/>
  <cp:version/>
  <cp:contentType/>
  <cp:contentStatus/>
</cp:coreProperties>
</file>